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05" windowWidth="18015" windowHeight="12165" tabRatio="825" activeTab="6"/>
  </bookViews>
  <sheets>
    <sheet name="DEC-2013" sheetId="20" r:id="rId1"/>
    <sheet name="JAN-2014" sheetId="21" r:id="rId2"/>
    <sheet name="FEB-2014" sheetId="23" r:id="rId3"/>
    <sheet name="MAR-2014" sheetId="24" r:id="rId4"/>
    <sheet name="APR-2014" sheetId="25" r:id="rId5"/>
    <sheet name="MAI-2014" sheetId="26" r:id="rId6"/>
    <sheet name="JUN-2014" sheetId="27" r:id="rId7"/>
  </sheets>
  <calcPr calcId="145621" concurrentCalc="0"/>
</workbook>
</file>

<file path=xl/calcChain.xml><?xml version="1.0" encoding="utf-8"?>
<calcChain xmlns="http://schemas.openxmlformats.org/spreadsheetml/2006/main">
  <c r="M40" i="27" l="1"/>
  <c r="L40" i="27"/>
  <c r="K40" i="27"/>
  <c r="J40" i="27"/>
  <c r="I40" i="27"/>
  <c r="H40" i="27"/>
  <c r="H39" i="27"/>
  <c r="G39" i="27"/>
  <c r="F44" i="27"/>
  <c r="E44" i="27"/>
  <c r="E45" i="27"/>
  <c r="F10" i="27"/>
  <c r="F28" i="27"/>
  <c r="F24" i="27"/>
  <c r="F30" i="27"/>
  <c r="F31" i="27"/>
  <c r="F35" i="27"/>
  <c r="F45" i="27"/>
  <c r="E10" i="27"/>
  <c r="E28" i="27"/>
  <c r="E24" i="27"/>
  <c r="E30" i="27"/>
  <c r="E31" i="27"/>
  <c r="E35" i="27"/>
  <c r="Q40" i="27"/>
  <c r="P40" i="27"/>
  <c r="O40" i="27"/>
  <c r="N40" i="27"/>
  <c r="M10" i="27"/>
  <c r="M24" i="27"/>
  <c r="M28" i="27"/>
  <c r="M39" i="27"/>
  <c r="L10" i="27"/>
  <c r="L24" i="27"/>
  <c r="L28" i="27"/>
  <c r="L39" i="27"/>
  <c r="K10" i="27"/>
  <c r="K24" i="27"/>
  <c r="K28" i="27"/>
  <c r="K39" i="27"/>
  <c r="J10" i="27"/>
  <c r="J24" i="27"/>
  <c r="J28" i="27"/>
  <c r="J39" i="27"/>
  <c r="I10" i="27"/>
  <c r="I24" i="27"/>
  <c r="I28" i="27"/>
  <c r="I39" i="27"/>
  <c r="H10" i="27"/>
  <c r="H24" i="27"/>
  <c r="H28" i="27"/>
  <c r="G10" i="27"/>
  <c r="G24" i="27"/>
  <c r="G28" i="27"/>
  <c r="P35" i="27"/>
  <c r="Q35" i="27"/>
  <c r="N35" i="27"/>
  <c r="O35" i="27"/>
  <c r="M30" i="27"/>
  <c r="L30" i="27"/>
  <c r="K30" i="27"/>
  <c r="J30" i="27"/>
  <c r="I30" i="27"/>
  <c r="H30" i="27"/>
  <c r="G30" i="27"/>
  <c r="P28" i="27"/>
  <c r="Q28" i="27"/>
  <c r="N28" i="27"/>
  <c r="O28" i="27"/>
  <c r="P24" i="27"/>
  <c r="Q24" i="27"/>
  <c r="N24" i="27"/>
  <c r="O24" i="27"/>
  <c r="P10" i="27"/>
  <c r="Q10" i="27"/>
  <c r="N10" i="27"/>
  <c r="O10" i="27"/>
  <c r="H40" i="26"/>
  <c r="H39" i="26"/>
  <c r="G39" i="26"/>
  <c r="I40" i="26"/>
  <c r="E10" i="25"/>
  <c r="F10" i="25"/>
  <c r="G10" i="25"/>
  <c r="H10" i="25"/>
  <c r="I10" i="25"/>
  <c r="J10" i="25"/>
  <c r="K10" i="25"/>
  <c r="L10" i="25"/>
  <c r="M10" i="25"/>
  <c r="E24" i="25"/>
  <c r="M24" i="25"/>
  <c r="E30" i="25"/>
  <c r="E31" i="25"/>
  <c r="E35" i="25"/>
  <c r="M39" i="25"/>
  <c r="E10" i="26"/>
  <c r="M10" i="26"/>
  <c r="E24" i="26"/>
  <c r="E28" i="26"/>
  <c r="E30" i="26"/>
  <c r="E31" i="26"/>
  <c r="E35" i="26"/>
  <c r="M24" i="26"/>
  <c r="M28" i="26"/>
  <c r="M39" i="26"/>
  <c r="M40" i="26"/>
  <c r="L39" i="25"/>
  <c r="L10" i="26"/>
  <c r="L24" i="26"/>
  <c r="L39" i="26"/>
  <c r="L40" i="26"/>
  <c r="K24" i="25"/>
  <c r="K39" i="25"/>
  <c r="K10" i="26"/>
  <c r="K24" i="26"/>
  <c r="K28" i="26"/>
  <c r="K39" i="26"/>
  <c r="K40" i="26"/>
  <c r="J24" i="25"/>
  <c r="J39" i="25"/>
  <c r="J10" i="26"/>
  <c r="J24" i="26"/>
  <c r="J28" i="26"/>
  <c r="J39" i="26"/>
  <c r="J40" i="26"/>
  <c r="I24" i="25"/>
  <c r="I39" i="25"/>
  <c r="I10" i="26"/>
  <c r="I24" i="26"/>
  <c r="I28" i="26"/>
  <c r="I39" i="26"/>
  <c r="H24" i="25"/>
  <c r="H39" i="25"/>
  <c r="H10" i="26"/>
  <c r="H24" i="26"/>
  <c r="H28" i="26"/>
  <c r="G10" i="26"/>
  <c r="G24" i="26"/>
  <c r="G28" i="26"/>
  <c r="F10" i="26"/>
  <c r="F24" i="26"/>
  <c r="F28" i="26"/>
  <c r="F30" i="26"/>
  <c r="F31" i="26"/>
  <c r="F35" i="26"/>
  <c r="E45" i="26"/>
  <c r="F45" i="26"/>
  <c r="E44" i="26"/>
  <c r="F44" i="26"/>
  <c r="Q40" i="26"/>
  <c r="P40" i="26"/>
  <c r="O40" i="26"/>
  <c r="N40" i="26"/>
  <c r="L28" i="26"/>
  <c r="P35" i="26"/>
  <c r="Q35" i="26"/>
  <c r="N35" i="26"/>
  <c r="O35" i="26"/>
  <c r="M30" i="26"/>
  <c r="L30" i="26"/>
  <c r="K30" i="26"/>
  <c r="J30" i="26"/>
  <c r="I30" i="26"/>
  <c r="H30" i="26"/>
  <c r="G30" i="26"/>
  <c r="P28" i="26"/>
  <c r="Q28" i="26"/>
  <c r="N28" i="26"/>
  <c r="O28" i="26"/>
  <c r="P24" i="26"/>
  <c r="Q24" i="26"/>
  <c r="N24" i="26"/>
  <c r="O24" i="26"/>
  <c r="P10" i="26"/>
  <c r="Q10" i="26"/>
  <c r="N10" i="26"/>
  <c r="O10" i="26"/>
  <c r="E10" i="24"/>
  <c r="I10" i="24"/>
  <c r="E24" i="24"/>
  <c r="E30" i="24"/>
  <c r="E31" i="24"/>
  <c r="E35" i="24"/>
  <c r="I24" i="24"/>
  <c r="I39" i="24"/>
  <c r="I40" i="25"/>
  <c r="J10" i="24"/>
  <c r="J24" i="24"/>
  <c r="J39" i="24"/>
  <c r="J40" i="25"/>
  <c r="K10" i="24"/>
  <c r="K24" i="24"/>
  <c r="K39" i="24"/>
  <c r="K40" i="25"/>
  <c r="L10" i="24"/>
  <c r="L39" i="24"/>
  <c r="L40" i="25"/>
  <c r="M10" i="24"/>
  <c r="M24" i="24"/>
  <c r="M39" i="24"/>
  <c r="M40" i="25"/>
  <c r="H10" i="24"/>
  <c r="H24" i="24"/>
  <c r="H39" i="24"/>
  <c r="H40" i="25"/>
  <c r="G24" i="25"/>
  <c r="G39" i="25"/>
  <c r="E44" i="25"/>
  <c r="Q40" i="25"/>
  <c r="P40" i="25"/>
  <c r="O40" i="25"/>
  <c r="N40" i="25"/>
  <c r="E28" i="25"/>
  <c r="N28" i="25"/>
  <c r="O28" i="25"/>
  <c r="L28" i="25"/>
  <c r="H28" i="25"/>
  <c r="F28" i="25"/>
  <c r="P28" i="25"/>
  <c r="Q28" i="25"/>
  <c r="M28" i="25"/>
  <c r="F24" i="25"/>
  <c r="P24" i="25"/>
  <c r="Q24" i="25"/>
  <c r="L24" i="25"/>
  <c r="P10" i="25"/>
  <c r="Q10" i="25"/>
  <c r="J28" i="25"/>
  <c r="H30" i="25"/>
  <c r="K28" i="25"/>
  <c r="G28" i="25"/>
  <c r="K30" i="25"/>
  <c r="F30" i="25"/>
  <c r="F31" i="25"/>
  <c r="F35" i="25"/>
  <c r="N10" i="25"/>
  <c r="O10" i="25"/>
  <c r="G30" i="25"/>
  <c r="N24" i="25"/>
  <c r="O24" i="25"/>
  <c r="I28" i="25"/>
  <c r="L24" i="24"/>
  <c r="L31" i="20"/>
  <c r="L27" i="20"/>
  <c r="K27" i="20"/>
  <c r="J27" i="20"/>
  <c r="L10" i="20"/>
  <c r="K10" i="20"/>
  <c r="J10" i="20"/>
  <c r="M30" i="25"/>
  <c r="L30" i="25"/>
  <c r="I30" i="25"/>
  <c r="P35" i="25"/>
  <c r="Q35" i="25"/>
  <c r="E45" i="25"/>
  <c r="F45" i="25"/>
  <c r="F44" i="25"/>
  <c r="N35" i="25"/>
  <c r="O35" i="25"/>
  <c r="J30" i="25"/>
  <c r="G10" i="20"/>
  <c r="L29" i="21"/>
  <c r="L25" i="21"/>
  <c r="K25" i="21"/>
  <c r="J25" i="21"/>
  <c r="L10" i="21"/>
  <c r="K10" i="21"/>
  <c r="J10" i="21"/>
  <c r="L25" i="23"/>
  <c r="K25" i="23"/>
  <c r="J25" i="23"/>
  <c r="L10" i="23"/>
  <c r="K10" i="23"/>
  <c r="J10" i="23"/>
  <c r="F10" i="24"/>
  <c r="F24" i="24"/>
  <c r="F30" i="24"/>
  <c r="F31" i="24"/>
  <c r="F35" i="24"/>
  <c r="E45" i="24"/>
  <c r="E44" i="24"/>
  <c r="I40" i="24"/>
  <c r="M40" i="24"/>
  <c r="N40" i="24"/>
  <c r="O40" i="24"/>
  <c r="P40" i="24"/>
  <c r="Q40" i="24"/>
  <c r="H40" i="24"/>
  <c r="G10" i="24"/>
  <c r="G24" i="24"/>
  <c r="G39" i="24"/>
  <c r="L28" i="24"/>
  <c r="F28" i="24"/>
  <c r="E28" i="24"/>
  <c r="K28" i="24"/>
  <c r="P24" i="24"/>
  <c r="Q24" i="24"/>
  <c r="P10" i="24"/>
  <c r="Q10" i="24"/>
  <c r="P28" i="24"/>
  <c r="Q28" i="24"/>
  <c r="N10" i="24"/>
  <c r="O10" i="24"/>
  <c r="H28" i="24"/>
  <c r="N24" i="24"/>
  <c r="O24" i="24"/>
  <c r="I28" i="24"/>
  <c r="M28" i="24"/>
  <c r="J28" i="24"/>
  <c r="N28" i="24"/>
  <c r="O28" i="24"/>
  <c r="G28" i="24"/>
  <c r="I41" i="21"/>
  <c r="H41" i="21"/>
  <c r="N41" i="23"/>
  <c r="O41" i="23"/>
  <c r="P41" i="23"/>
  <c r="Q41" i="23"/>
  <c r="G25" i="21"/>
  <c r="M10" i="21"/>
  <c r="I10" i="21"/>
  <c r="H10" i="21"/>
  <c r="G10" i="21"/>
  <c r="F10" i="21"/>
  <c r="E10" i="21"/>
  <c r="L29" i="23"/>
  <c r="K29" i="23"/>
  <c r="H29" i="23"/>
  <c r="G29" i="23"/>
  <c r="F29" i="23"/>
  <c r="E29" i="23"/>
  <c r="J29" i="23"/>
  <c r="I25" i="23"/>
  <c r="E25" i="23"/>
  <c r="H25" i="23"/>
  <c r="H30" i="24"/>
  <c r="G30" i="24"/>
  <c r="M30" i="24"/>
  <c r="I30" i="24"/>
  <c r="K30" i="24"/>
  <c r="L30" i="24"/>
  <c r="F45" i="24"/>
  <c r="P35" i="24"/>
  <c r="Q35" i="24"/>
  <c r="J30" i="24"/>
  <c r="N35" i="24"/>
  <c r="O35" i="24"/>
  <c r="F44" i="24"/>
  <c r="M25" i="23"/>
  <c r="G25" i="23"/>
  <c r="I29" i="23"/>
  <c r="M29" i="23"/>
  <c r="P29" i="23"/>
  <c r="Q29" i="23"/>
  <c r="F25" i="23"/>
  <c r="P25" i="23"/>
  <c r="Q25" i="23"/>
  <c r="F10" i="23"/>
  <c r="P10" i="23"/>
  <c r="Q10" i="23"/>
  <c r="E10" i="23"/>
  <c r="M10" i="23"/>
  <c r="H10" i="23"/>
  <c r="G10" i="23"/>
  <c r="I10" i="23"/>
  <c r="N29" i="23"/>
  <c r="O29" i="23"/>
  <c r="E31" i="23"/>
  <c r="I31" i="23"/>
  <c r="F31" i="23"/>
  <c r="F32" i="23"/>
  <c r="F36" i="23"/>
  <c r="E46" i="23"/>
  <c r="N10" i="23"/>
  <c r="O10" i="23"/>
  <c r="N25" i="23"/>
  <c r="O25" i="23"/>
  <c r="F25" i="21"/>
  <c r="E25" i="21"/>
  <c r="K31" i="23"/>
  <c r="I25" i="21"/>
  <c r="M25" i="21"/>
  <c r="H25" i="21"/>
  <c r="H31" i="23"/>
  <c r="G31" i="23"/>
  <c r="M31" i="23"/>
  <c r="L31" i="23"/>
  <c r="J31" i="23"/>
  <c r="E32" i="23"/>
  <c r="E36" i="23"/>
  <c r="P36" i="23"/>
  <c r="Q36" i="23"/>
  <c r="K40" i="23"/>
  <c r="E45" i="23"/>
  <c r="L40" i="23"/>
  <c r="H40" i="23"/>
  <c r="H41" i="23"/>
  <c r="G40" i="23"/>
  <c r="I40" i="23"/>
  <c r="I41" i="23"/>
  <c r="J40" i="23"/>
  <c r="M40" i="23"/>
  <c r="M41" i="23"/>
  <c r="N36" i="23"/>
  <c r="O36" i="23"/>
  <c r="L40" i="24"/>
  <c r="K40" i="24"/>
  <c r="J40" i="24"/>
  <c r="F29" i="21"/>
  <c r="E29" i="21"/>
  <c r="P25" i="21"/>
  <c r="Q25" i="21"/>
  <c r="P10" i="21"/>
  <c r="Q10" i="21"/>
  <c r="J29" i="21"/>
  <c r="J31" i="21"/>
  <c r="E31" i="21"/>
  <c r="E32" i="21"/>
  <c r="E36" i="21"/>
  <c r="I31" i="21"/>
  <c r="P29" i="21"/>
  <c r="Q29" i="21"/>
  <c r="F31" i="21"/>
  <c r="K29" i="21"/>
  <c r="K31" i="21"/>
  <c r="G29" i="21"/>
  <c r="G31" i="21"/>
  <c r="H29" i="21"/>
  <c r="H31" i="21"/>
  <c r="M29" i="21"/>
  <c r="M31" i="21"/>
  <c r="H40" i="21"/>
  <c r="N10" i="21"/>
  <c r="O10" i="21"/>
  <c r="N25" i="21"/>
  <c r="O25" i="21"/>
  <c r="I29" i="21"/>
  <c r="N29" i="21"/>
  <c r="O29" i="21"/>
  <c r="I27" i="20"/>
  <c r="L20" i="20"/>
  <c r="F31" i="20"/>
  <c r="P31" i="20"/>
  <c r="Q31" i="20"/>
  <c r="E31" i="20"/>
  <c r="K31" i="20"/>
  <c r="F27" i="20"/>
  <c r="P27" i="20"/>
  <c r="Q27" i="20"/>
  <c r="E27" i="20"/>
  <c r="N27" i="20"/>
  <c r="O27" i="20"/>
  <c r="F20" i="20"/>
  <c r="P20" i="20"/>
  <c r="Q20" i="20"/>
  <c r="E20" i="20"/>
  <c r="K20" i="20"/>
  <c r="F10" i="20"/>
  <c r="P10" i="20"/>
  <c r="Q10" i="20"/>
  <c r="E10" i="20"/>
  <c r="J40" i="21"/>
  <c r="J41" i="23"/>
  <c r="K40" i="21"/>
  <c r="K41" i="23"/>
  <c r="M40" i="21"/>
  <c r="L40" i="21"/>
  <c r="L41" i="23"/>
  <c r="G40" i="21"/>
  <c r="I40" i="21"/>
  <c r="N31" i="20"/>
  <c r="O31" i="20"/>
  <c r="F33" i="20"/>
  <c r="F34" i="20"/>
  <c r="F38" i="20"/>
  <c r="F46" i="23"/>
  <c r="L31" i="21"/>
  <c r="F32" i="21"/>
  <c r="F36" i="21"/>
  <c r="N36" i="21"/>
  <c r="O36" i="21"/>
  <c r="H10" i="20"/>
  <c r="H31" i="20"/>
  <c r="M31" i="20"/>
  <c r="I10" i="20"/>
  <c r="M10" i="20"/>
  <c r="I20" i="20"/>
  <c r="M20" i="20"/>
  <c r="L33" i="20"/>
  <c r="I31" i="20"/>
  <c r="N10" i="20"/>
  <c r="O10" i="20"/>
  <c r="G20" i="20"/>
  <c r="J20" i="20"/>
  <c r="G27" i="20"/>
  <c r="M27" i="20"/>
  <c r="J31" i="20"/>
  <c r="E33" i="20"/>
  <c r="K33" i="20"/>
  <c r="N20" i="20"/>
  <c r="O20" i="20"/>
  <c r="H20" i="20"/>
  <c r="H27" i="20"/>
  <c r="H33" i="20"/>
  <c r="G31" i="20"/>
  <c r="E34" i="20"/>
  <c r="E38" i="20"/>
  <c r="N38" i="20"/>
  <c r="O38" i="20"/>
  <c r="I33" i="20"/>
  <c r="G33" i="20"/>
  <c r="E46" i="21"/>
  <c r="F46" i="21"/>
  <c r="M33" i="20"/>
  <c r="P38" i="20"/>
  <c r="Q38" i="20"/>
  <c r="P36" i="21"/>
  <c r="Q36" i="21"/>
  <c r="J33" i="20"/>
  <c r="L42" i="20"/>
  <c r="M42" i="20"/>
  <c r="E45" i="21"/>
  <c r="F45" i="21"/>
  <c r="F45" i="23"/>
  <c r="G42" i="20"/>
  <c r="J42" i="20"/>
  <c r="I42" i="20"/>
  <c r="K42" i="20"/>
  <c r="H42" i="20"/>
  <c r="L41" i="21"/>
  <c r="M41" i="21"/>
  <c r="J41" i="21"/>
  <c r="K41" i="21"/>
</calcChain>
</file>

<file path=xl/sharedStrings.xml><?xml version="1.0" encoding="utf-8"?>
<sst xmlns="http://schemas.openxmlformats.org/spreadsheetml/2006/main" count="690" uniqueCount="82">
  <si>
    <t>Nosaukums</t>
  </si>
  <si>
    <t>Kopējā neto aktīvu vērtība (milj.LVL)</t>
  </si>
  <si>
    <t>Dalībnieku skaits</t>
  </si>
  <si>
    <t>Ienesīgums pēc komisiju atskaitīšanas %%*</t>
  </si>
  <si>
    <t>12 mēn.**</t>
  </si>
  <si>
    <t>2 Gadi**</t>
  </si>
  <si>
    <t>3 Gadi**</t>
  </si>
  <si>
    <t>5 Gadi**</t>
  </si>
  <si>
    <t>Kopš darbības sākuma**</t>
  </si>
  <si>
    <t>LVL</t>
  </si>
  <si>
    <t>EUR</t>
  </si>
  <si>
    <t>USD</t>
  </si>
  <si>
    <t xml:space="preserve">Plāna valūta </t>
  </si>
  <si>
    <t xml:space="preserve">Swedbank pensiju plāns Stabilitāte+25            </t>
  </si>
  <si>
    <t xml:space="preserve">Nordea progresīvais pensiju plāns </t>
  </si>
  <si>
    <t>Swedbank pensiju plāns Dinamika+60</t>
  </si>
  <si>
    <t>Swedbank pensiju plāns Dinamika+(USD)</t>
  </si>
  <si>
    <t>Finasta plāns "Jūra - Aktīvais"</t>
  </si>
  <si>
    <t>Plānā pieļaujamie max ieguldījumi akcijās</t>
  </si>
  <si>
    <t>līdz 50%</t>
  </si>
  <si>
    <t>līdz 30%</t>
  </si>
  <si>
    <t>līdz 25%</t>
  </si>
  <si>
    <t>līdz 75%</t>
  </si>
  <si>
    <t>līdz 60%</t>
  </si>
  <si>
    <t>līdz 80%</t>
  </si>
  <si>
    <t>Slēgtais pensiju fonds</t>
  </si>
  <si>
    <t>līdz 20%</t>
  </si>
  <si>
    <t>Citadele Sabalansētais</t>
  </si>
  <si>
    <t>Citadele Aktīvais</t>
  </si>
  <si>
    <t>Citadele Aktīvais USD</t>
  </si>
  <si>
    <t>Finasta plāns "Dzintars - Konservatīvais"</t>
  </si>
  <si>
    <t>** Vēsturiskais ienesīgums negarantē līdzvērtīgu ienesīgumu nākotnē.</t>
  </si>
  <si>
    <t>līdz 100%</t>
  </si>
  <si>
    <t>KOPĀ VISI PENSIJU 3.LĪMEŅA PENSIJU PLĀNI</t>
  </si>
  <si>
    <t>Nordea sabalansētais pensiju plāns</t>
  </si>
  <si>
    <t xml:space="preserve">Finasta plāns "Saule - Sabalansētais" </t>
  </si>
  <si>
    <t>Swedbank pensiju plāns Dinamika+100</t>
  </si>
  <si>
    <t xml:space="preserve">Plāna darbības sākums </t>
  </si>
  <si>
    <t>"SEB - Sabalansētais" pensiju plāns</t>
  </si>
  <si>
    <t>"SEB Aktīvais" pensiju plāns</t>
  </si>
  <si>
    <t>"SEB Eiropensija" pensiju plāns</t>
  </si>
  <si>
    <t xml:space="preserve">"Pirmais Pensiju Plāns"                                           (tikai "Pirmā Slēgtā Pensiju Fonda" akcionāru uzņēmumu darbiniekiem)  </t>
  </si>
  <si>
    <t xml:space="preserve">Sabalansētie pensiju plāni </t>
  </si>
  <si>
    <t>Aktīvie pensiju plāni</t>
  </si>
  <si>
    <t>Kopā sabalansētie pensiju plāni</t>
  </si>
  <si>
    <t>Kopā aktīvie pensiju plāni</t>
  </si>
  <si>
    <t>Kopā Atklāto pensiju fondu pensiju plāni</t>
  </si>
  <si>
    <t>Atklāto privāto pensiju fondu pensiju plāni</t>
  </si>
  <si>
    <t>Citadele Aktīvais EUR</t>
  </si>
  <si>
    <t>Neto aktīvu pieaugums 2013</t>
  </si>
  <si>
    <t>Dalībnieku pieaugums 2013</t>
  </si>
  <si>
    <t>Izmaiņas</t>
  </si>
  <si>
    <t>Vidējais nozares</t>
  </si>
  <si>
    <t>Kopš gada sākuma***</t>
  </si>
  <si>
    <t>10 Gadi **</t>
  </si>
  <si>
    <t>*** Ienesīgums izteikts abosūtā pieauguma vērtībā no gada sākuma, nevis gada procentu likmē</t>
  </si>
  <si>
    <t>Citadele plāns "Tvists"</t>
  </si>
  <si>
    <t xml:space="preserve">Citadele plāns "Rumba" </t>
  </si>
  <si>
    <t>Pārskats par privāto pensiju fondu (PENSIJU 3.LĪMENIS) pensiju plāniem  31.12.2013</t>
  </si>
  <si>
    <t>Pārskats par privāto pensiju fondu (PENSIJU 3.LĪMENIS) pensiju plāniem  31.01.2014</t>
  </si>
  <si>
    <t>Kopējā neto aktīvu vērtība (milj.EUR)</t>
  </si>
  <si>
    <t>Aktīvu pieaugums 1M 2014</t>
  </si>
  <si>
    <t>Dalībnieku skaita pieaugums 1M 2014</t>
  </si>
  <si>
    <t>KOPĀ VISI PENSIJU 3.LĪMEŅA PENSIJU PLĀNI (EUR)</t>
  </si>
  <si>
    <t>Pārskats par privāto pensiju fondu (PENSIJU 3.LĪMENIS) pensiju plāniem  28.02.2014</t>
  </si>
  <si>
    <t>Aktīvu pieaugums 2M 2014</t>
  </si>
  <si>
    <t>Dalībnieku skaita pieaugums 2M 2014</t>
  </si>
  <si>
    <t>Pārskats par privāto pensiju fondu (PENSIJU 3.LĪMENIS) pensiju plāniem  31.03.2014</t>
  </si>
  <si>
    <t>Aktīvu pieaugums 3M 2014</t>
  </si>
  <si>
    <t>Dalībnieku skaita pieaugums 3M 2014</t>
  </si>
  <si>
    <t>Pārskats par privāto pensiju fondu (PENSIJU 3.LĪMENIS) pensiju plāniem  30.04.2014</t>
  </si>
  <si>
    <t>n/d</t>
  </si>
  <si>
    <t>na</t>
  </si>
  <si>
    <t>Aktīvu pieaugums 4M 2014</t>
  </si>
  <si>
    <t>Dalībnieku skaita pieaugums 4M 2014</t>
  </si>
  <si>
    <t>Pārskats par privāto pensiju fondu (PENSIJU 3.LĪMENIS) pensiju plāniem  31.05.2014</t>
  </si>
  <si>
    <t>Aktīvu pieaugums 5M 2014</t>
  </si>
  <si>
    <t>Dalībnieku skaita pieaugums 5M 2014</t>
  </si>
  <si>
    <t>Pārskats par privāto pensiju fondu (PENSIJU 3.LĪMENIS) pensiju plāniem  30.06.2014</t>
  </si>
  <si>
    <t>Aktīvu pieaugums 6M 2014</t>
  </si>
  <si>
    <t>Dalībnieku skaita pieaugums 6M 2014</t>
  </si>
  <si>
    <t>* Pensiju plāna ienesīgums aprēķināts kā pārskata perioda atsevišķo mēnešu ienesīguma saliktais rezultāts no attiecīgā periodā gūtās bruto peļņas atskaitot līdzekļu pārvaldītāju un turētājbanku komisijas un ir izteikts gada procentos.  Nav ņemtas vērā privāto pensiju fondu komisijas.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</si>
</sst>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6" x14ac:knownFonts="1">
    <font>
      <sz val="10"/>
      <name val="Arial"/>
      <charset val="186"/>
    </font>
    <font>
      <sz val="10"/>
      <name val="Arial"/>
      <family val="2"/>
      <charset val="186"/>
    </font>
    <font>
      <sz val="10"/>
      <name val="Arial"/>
      <family val="2"/>
      <charset val="186"/>
    </font>
    <font>
      <b/>
      <sz val="9"/>
      <name val="Arial"/>
      <family val="2"/>
      <charset val="186"/>
    </font>
    <font>
      <sz val="9"/>
      <name val="Arial"/>
      <family val="2"/>
      <charset val="186"/>
    </font>
    <font>
      <sz val="10"/>
      <color indexed="17"/>
      <name val="Arial"/>
      <family val="2"/>
      <charset val="186"/>
    </font>
    <font>
      <sz val="10"/>
      <color indexed="10"/>
      <name val="Arial"/>
      <family val="2"/>
      <charset val="186"/>
    </font>
    <font>
      <sz val="8"/>
      <color indexed="21"/>
      <name val="Arial"/>
      <family val="2"/>
      <charset val="186"/>
    </font>
    <font>
      <b/>
      <sz val="8"/>
      <name val="Arial"/>
      <family val="2"/>
      <charset val="186"/>
    </font>
    <font>
      <sz val="8"/>
      <name val="Arial"/>
      <family val="2"/>
      <charset val="186"/>
    </font>
    <font>
      <b/>
      <sz val="10"/>
      <name val="Arial"/>
      <family val="2"/>
      <charset val="186"/>
    </font>
    <font>
      <b/>
      <sz val="9"/>
      <color indexed="9"/>
      <name val="Arial"/>
      <family val="2"/>
      <charset val="186"/>
    </font>
    <font>
      <sz val="9"/>
      <color indexed="9"/>
      <name val="Arial"/>
      <family val="2"/>
      <charset val="186"/>
    </font>
    <font>
      <i/>
      <sz val="9"/>
      <name val="Arial"/>
      <family val="2"/>
      <charset val="186"/>
    </font>
    <font>
      <i/>
      <sz val="10"/>
      <name val="Arial"/>
      <family val="2"/>
      <charset val="186"/>
    </font>
    <font>
      <b/>
      <sz val="12"/>
      <color indexed="9"/>
      <name val="Arial"/>
      <family val="2"/>
      <charset val="186"/>
    </font>
    <font>
      <b/>
      <u/>
      <sz val="9"/>
      <name val="Arial"/>
      <family val="2"/>
      <charset val="186"/>
    </font>
    <font>
      <sz val="9"/>
      <color indexed="62"/>
      <name val="Arial"/>
      <family val="2"/>
      <charset val="186"/>
    </font>
    <font>
      <b/>
      <sz val="9"/>
      <name val="Arial"/>
      <family val="2"/>
      <charset val="186"/>
    </font>
    <font>
      <sz val="8"/>
      <color indexed="17"/>
      <name val="Arial"/>
      <family val="2"/>
      <charset val="186"/>
    </font>
    <font>
      <sz val="8"/>
      <color indexed="12"/>
      <name val="Arial"/>
      <family val="2"/>
      <charset val="186"/>
    </font>
    <font>
      <sz val="8"/>
      <color indexed="10"/>
      <name val="Arial"/>
      <family val="2"/>
      <charset val="186"/>
    </font>
    <font>
      <b/>
      <sz val="8"/>
      <color indexed="12"/>
      <name val="Arial"/>
      <family val="2"/>
      <charset val="186"/>
    </font>
    <font>
      <b/>
      <sz val="11"/>
      <color rgb="FFFA7D00"/>
      <name val="Calibri"/>
      <family val="2"/>
      <charset val="186"/>
      <scheme val="minor"/>
    </font>
    <font>
      <sz val="11"/>
      <color rgb="FF9C0006"/>
      <name val="Calibri"/>
      <family val="2"/>
      <charset val="186"/>
      <scheme val="minor"/>
    </font>
    <font>
      <sz val="11"/>
      <color theme="0"/>
      <name val="Calibri"/>
      <family val="2"/>
      <charset val="186"/>
      <scheme val="minor"/>
    </font>
  </fonts>
  <fills count="13">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54"/>
        <bgColor indexed="64"/>
      </patternFill>
    </fill>
    <fill>
      <patternFill patternType="solid">
        <fgColor indexed="46"/>
        <bgColor indexed="64"/>
      </patternFill>
    </fill>
    <fill>
      <patternFill patternType="solid">
        <fgColor indexed="45"/>
        <bgColor indexed="64"/>
      </patternFill>
    </fill>
    <fill>
      <patternFill patternType="solid">
        <fgColor indexed="44"/>
        <bgColor indexed="64"/>
      </patternFill>
    </fill>
    <fill>
      <patternFill patternType="solid">
        <fgColor rgb="FFF2F2F2"/>
      </patternFill>
    </fill>
    <fill>
      <patternFill patternType="solid">
        <fgColor rgb="FFFFC7CE"/>
      </patternFill>
    </fill>
    <fill>
      <patternFill patternType="solid">
        <fgColor theme="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0" fontId="23" fillId="10" borderId="16" applyNumberFormat="0" applyAlignment="0" applyProtection="0"/>
    <xf numFmtId="0" fontId="24" fillId="11" borderId="0" applyNumberFormat="0" applyBorder="0" applyAlignment="0" applyProtection="0"/>
    <xf numFmtId="0" fontId="25" fillId="12" borderId="0" applyNumberFormat="0" applyBorder="0" applyAlignment="0" applyProtection="0"/>
  </cellStyleXfs>
  <cellXfs count="244">
    <xf numFmtId="0" fontId="0" fillId="0" borderId="0" xfId="0"/>
    <xf numFmtId="0" fontId="2" fillId="0" borderId="0" xfId="0" applyFont="1"/>
    <xf numFmtId="0" fontId="2" fillId="0" borderId="0" xfId="0" applyFont="1" applyBorder="1"/>
    <xf numFmtId="0" fontId="5" fillId="0" borderId="0" xfId="0" applyFont="1"/>
    <xf numFmtId="0" fontId="6" fillId="0" borderId="0" xfId="0" applyFont="1"/>
    <xf numFmtId="10" fontId="4" fillId="0" borderId="0" xfId="2" applyNumberFormat="1" applyFont="1" applyFill="1" applyBorder="1"/>
    <xf numFmtId="10" fontId="4" fillId="0" borderId="0" xfId="0" applyNumberFormat="1" applyFont="1" applyBorder="1"/>
    <xf numFmtId="10" fontId="4" fillId="0" borderId="0" xfId="0" applyNumberFormat="1" applyFont="1" applyFill="1" applyBorder="1"/>
    <xf numFmtId="0" fontId="2" fillId="0" borderId="0" xfId="0" applyFont="1" applyAlignment="1">
      <alignment horizontal="center"/>
    </xf>
    <xf numFmtId="10" fontId="9" fillId="0" borderId="0" xfId="0" applyNumberFormat="1" applyFont="1" applyBorder="1"/>
    <xf numFmtId="0" fontId="8" fillId="0" borderId="0" xfId="0" applyFont="1" applyAlignment="1">
      <alignment horizontal="center"/>
    </xf>
    <xf numFmtId="0" fontId="8" fillId="0" borderId="0" xfId="0" applyNumberFormat="1" applyFont="1" applyBorder="1" applyAlignment="1">
      <alignment horizontal="center" wrapText="1"/>
    </xf>
    <xf numFmtId="0" fontId="4" fillId="0" borderId="1" xfId="0" applyFont="1" applyFill="1" applyBorder="1" applyAlignment="1">
      <alignment horizontal="center" wrapText="1"/>
    </xf>
    <xf numFmtId="2" fontId="4" fillId="0" borderId="1" xfId="2" applyNumberFormat="1" applyFont="1" applyFill="1" applyBorder="1" applyAlignment="1">
      <alignment horizontal="right"/>
    </xf>
    <xf numFmtId="0" fontId="7" fillId="0" borderId="0" xfId="0" applyFont="1" applyFill="1" applyBorder="1" applyAlignment="1">
      <alignment horizontal="center"/>
    </xf>
    <xf numFmtId="0" fontId="8" fillId="0" borderId="0" xfId="0" applyNumberFormat="1" applyFont="1" applyFill="1" applyBorder="1" applyAlignment="1">
      <alignment wrapText="1"/>
    </xf>
    <xf numFmtId="0" fontId="8" fillId="0" borderId="0" xfId="0" applyNumberFormat="1" applyFont="1" applyFill="1" applyBorder="1" applyAlignment="1">
      <alignment horizontal="center" wrapText="1"/>
    </xf>
    <xf numFmtId="0" fontId="2" fillId="0" borderId="0" xfId="0" applyFont="1" applyFill="1"/>
    <xf numFmtId="0" fontId="4" fillId="0" borderId="0" xfId="0" applyFont="1" applyFill="1" applyBorder="1" applyAlignment="1">
      <alignment horizontal="center" wrapText="1"/>
    </xf>
    <xf numFmtId="0" fontId="8" fillId="0" borderId="0" xfId="0" applyFont="1" applyFill="1" applyBorder="1" applyAlignment="1">
      <alignment horizontal="center"/>
    </xf>
    <xf numFmtId="164" fontId="8" fillId="0" borderId="0" xfId="0" applyNumberFormat="1" applyFont="1" applyAlignment="1">
      <alignment horizontal="center"/>
    </xf>
    <xf numFmtId="164" fontId="9" fillId="0" borderId="0" xfId="0" applyNumberFormat="1" applyFont="1" applyBorder="1"/>
    <xf numFmtId="164" fontId="2" fillId="0" borderId="0" xfId="0" applyNumberFormat="1" applyFont="1" applyBorder="1"/>
    <xf numFmtId="164" fontId="2" fillId="0" borderId="0" xfId="0" applyNumberFormat="1" applyFont="1"/>
    <xf numFmtId="0" fontId="10" fillId="0" borderId="0" xfId="0" applyFont="1"/>
    <xf numFmtId="0" fontId="10" fillId="0" borderId="0" xfId="0" applyFont="1" applyBorder="1"/>
    <xf numFmtId="164"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0" fontId="10" fillId="0" borderId="0" xfId="0" applyFont="1" applyFill="1"/>
    <xf numFmtId="0" fontId="4" fillId="0" borderId="1" xfId="0" applyFont="1" applyBorder="1" applyAlignment="1">
      <alignment horizontal="center" wrapText="1"/>
    </xf>
    <xf numFmtId="14" fontId="4" fillId="0" borderId="1" xfId="0" applyNumberFormat="1" applyFont="1" applyFill="1" applyBorder="1" applyAlignment="1">
      <alignment horizontal="right" wrapText="1"/>
    </xf>
    <xf numFmtId="3" fontId="4" fillId="0" borderId="1" xfId="0" applyNumberFormat="1" applyFont="1" applyFill="1" applyBorder="1" applyAlignment="1"/>
    <xf numFmtId="14" fontId="4" fillId="0" borderId="1"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2" xfId="0" applyFont="1" applyBorder="1" applyAlignment="1">
      <alignment horizontal="center" wrapText="1"/>
    </xf>
    <xf numFmtId="14" fontId="4" fillId="0" borderId="2" xfId="0" applyNumberFormat="1" applyFont="1" applyFill="1" applyBorder="1" applyAlignment="1">
      <alignment horizontal="right" wrapText="1"/>
    </xf>
    <xf numFmtId="14" fontId="4" fillId="0" borderId="1" xfId="0" applyNumberFormat="1" applyFont="1" applyFill="1" applyBorder="1" applyAlignment="1"/>
    <xf numFmtId="3" fontId="3" fillId="0" borderId="0" xfId="2" applyNumberFormat="1" applyFont="1" applyFill="1" applyBorder="1" applyAlignment="1"/>
    <xf numFmtId="3" fontId="3" fillId="0" borderId="0" xfId="0" applyNumberFormat="1" applyFont="1" applyFill="1" applyBorder="1" applyAlignment="1"/>
    <xf numFmtId="0" fontId="10" fillId="0" borderId="0" xfId="0" applyFont="1" applyFill="1" applyBorder="1"/>
    <xf numFmtId="0" fontId="3" fillId="2" borderId="1" xfId="0" applyFont="1" applyFill="1" applyBorder="1" applyAlignment="1">
      <alignment horizontal="right" wrapText="1"/>
    </xf>
    <xf numFmtId="0" fontId="3" fillId="2" borderId="1" xfId="0" applyFont="1" applyFill="1" applyBorder="1" applyAlignment="1">
      <alignment horizontal="center" wrapText="1"/>
    </xf>
    <xf numFmtId="14" fontId="3" fillId="2" borderId="1" xfId="0" applyNumberFormat="1" applyFont="1" applyFill="1" applyBorder="1" applyAlignment="1">
      <alignment horizontal="right" wrapText="1"/>
    </xf>
    <xf numFmtId="3" fontId="3" fillId="2" borderId="1" xfId="2" applyNumberFormat="1" applyFont="1" applyFill="1" applyBorder="1" applyAlignment="1"/>
    <xf numFmtId="3" fontId="3" fillId="2" borderId="1" xfId="0" applyNumberFormat="1" applyFont="1" applyFill="1" applyBorder="1" applyAlignment="1"/>
    <xf numFmtId="0" fontId="4" fillId="2" borderId="1" xfId="0" applyFont="1" applyFill="1" applyBorder="1" applyAlignment="1">
      <alignment horizontal="center" wrapText="1"/>
    </xf>
    <xf numFmtId="14" fontId="4" fillId="2" borderId="1" xfId="0" applyNumberFormat="1" applyFont="1" applyFill="1" applyBorder="1" applyAlignment="1">
      <alignment horizontal="right" wrapText="1"/>
    </xf>
    <xf numFmtId="0" fontId="3" fillId="0" borderId="0" xfId="0" applyFont="1" applyFill="1" applyBorder="1" applyAlignment="1">
      <alignment horizontal="center" wrapText="1"/>
    </xf>
    <xf numFmtId="1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3" fillId="3" borderId="1" xfId="0" applyFont="1" applyFill="1" applyBorder="1" applyAlignment="1">
      <alignment horizontal="left" wrapText="1"/>
    </xf>
    <xf numFmtId="0" fontId="3" fillId="3" borderId="1" xfId="0" applyFont="1" applyFill="1" applyBorder="1" applyAlignment="1">
      <alignment horizontal="center" wrapText="1"/>
    </xf>
    <xf numFmtId="14" fontId="3" fillId="3" borderId="1" xfId="0" applyNumberFormat="1" applyFont="1" applyFill="1" applyBorder="1" applyAlignment="1">
      <alignment horizontal="right" wrapText="1"/>
    </xf>
    <xf numFmtId="3" fontId="3" fillId="3" borderId="1" xfId="0" applyNumberFormat="1" applyFont="1" applyFill="1" applyBorder="1" applyAlignment="1">
      <alignment horizontal="right"/>
    </xf>
    <xf numFmtId="14" fontId="4" fillId="0" borderId="0" xfId="0" applyNumberFormat="1" applyFont="1" applyFill="1" applyBorder="1" applyAlignment="1">
      <alignment horizontal="right" wrapText="1"/>
    </xf>
    <xf numFmtId="0" fontId="3" fillId="0" borderId="0" xfId="0" applyFont="1" applyFill="1" applyBorder="1" applyAlignment="1">
      <alignment horizontal="left" wrapText="1"/>
    </xf>
    <xf numFmtId="164" fontId="3" fillId="0" borderId="0" xfId="0" applyNumberFormat="1" applyFont="1" applyFill="1" applyBorder="1" applyAlignment="1"/>
    <xf numFmtId="0" fontId="4" fillId="0" borderId="0" xfId="0" applyFont="1" applyBorder="1" applyAlignment="1">
      <alignment horizontal="center" wrapText="1"/>
    </xf>
    <xf numFmtId="164" fontId="4" fillId="0" borderId="0" xfId="0" applyNumberFormat="1" applyFont="1" applyBorder="1" applyAlignment="1"/>
    <xf numFmtId="3" fontId="4" fillId="0" borderId="0" xfId="0" applyNumberFormat="1" applyFont="1" applyBorder="1" applyAlignment="1"/>
    <xf numFmtId="0" fontId="3" fillId="2" borderId="1" xfId="0" applyFont="1" applyFill="1" applyBorder="1" applyAlignment="1">
      <alignment horizontal="left" wrapText="1"/>
    </xf>
    <xf numFmtId="0" fontId="3" fillId="2" borderId="1" xfId="0" applyFont="1" applyFill="1" applyBorder="1" applyAlignment="1"/>
    <xf numFmtId="3" fontId="3" fillId="4" borderId="1" xfId="0" applyNumberFormat="1" applyFont="1" applyFill="1" applyBorder="1" applyAlignment="1"/>
    <xf numFmtId="0" fontId="3" fillId="5" borderId="4" xfId="0" applyFont="1" applyFill="1" applyBorder="1" applyAlignment="1">
      <alignment horizontal="center" wrapText="1"/>
    </xf>
    <xf numFmtId="14" fontId="4" fillId="0" borderId="1" xfId="0" applyNumberFormat="1" applyFont="1" applyBorder="1" applyAlignment="1">
      <alignment horizontal="right" wrapText="1"/>
    </xf>
    <xf numFmtId="0" fontId="16" fillId="0" borderId="6" xfId="0" applyFont="1" applyFill="1" applyBorder="1" applyAlignment="1">
      <alignment horizontal="left" wrapText="1"/>
    </xf>
    <xf numFmtId="0" fontId="4" fillId="0" borderId="6" xfId="0" applyFont="1" applyFill="1" applyBorder="1" applyAlignment="1">
      <alignment horizontal="left" wrapText="1"/>
    </xf>
    <xf numFmtId="0" fontId="3" fillId="0" borderId="6" xfId="0" applyFont="1" applyFill="1" applyBorder="1" applyAlignment="1">
      <alignment horizontal="left" wrapText="1"/>
    </xf>
    <xf numFmtId="0" fontId="17" fillId="0" borderId="1" xfId="0" applyFont="1" applyBorder="1" applyAlignment="1">
      <alignment wrapText="1"/>
    </xf>
    <xf numFmtId="0" fontId="17" fillId="0" borderId="1" xfId="0" applyFont="1" applyFill="1" applyBorder="1" applyAlignment="1">
      <alignment wrapText="1"/>
    </xf>
    <xf numFmtId="0" fontId="17" fillId="0" borderId="2" xfId="0" applyFont="1" applyBorder="1" applyAlignment="1">
      <alignment wrapText="1"/>
    </xf>
    <xf numFmtId="0" fontId="17" fillId="0" borderId="1" xfId="0" applyFont="1" applyBorder="1" applyAlignment="1">
      <alignment horizontal="left" wrapText="1"/>
    </xf>
    <xf numFmtId="0" fontId="17" fillId="0" borderId="1" xfId="0" applyFont="1" applyFill="1" applyBorder="1" applyAlignment="1">
      <alignment horizontal="left" wrapText="1"/>
    </xf>
    <xf numFmtId="0" fontId="17" fillId="0" borderId="5" xfId="0" applyFont="1" applyFill="1" applyBorder="1" applyAlignment="1">
      <alignment horizontal="left" wrapText="1"/>
    </xf>
    <xf numFmtId="164" fontId="18" fillId="3" borderId="1" xfId="0" applyNumberFormat="1" applyFont="1" applyFill="1" applyBorder="1" applyAlignment="1">
      <alignment horizontal="right"/>
    </xf>
    <xf numFmtId="3" fontId="4" fillId="0" borderId="1" xfId="0" applyNumberFormat="1" applyFont="1" applyFill="1" applyBorder="1"/>
    <xf numFmtId="3" fontId="3" fillId="0" borderId="0" xfId="0" applyNumberFormat="1" applyFont="1" applyAlignment="1">
      <alignment horizontal="center"/>
    </xf>
    <xf numFmtId="3" fontId="4" fillId="0" borderId="0" xfId="0" applyNumberFormat="1" applyFont="1" applyBorder="1"/>
    <xf numFmtId="3" fontId="4" fillId="0" borderId="0" xfId="0" applyNumberFormat="1" applyFont="1"/>
    <xf numFmtId="164" fontId="18" fillId="2" borderId="1" xfId="2" applyNumberFormat="1" applyFont="1" applyFill="1" applyBorder="1" applyAlignment="1"/>
    <xf numFmtId="164" fontId="18" fillId="0" borderId="0" xfId="2" applyNumberFormat="1" applyFont="1" applyFill="1" applyBorder="1" applyAlignment="1"/>
    <xf numFmtId="164" fontId="18" fillId="2" borderId="1" xfId="0" applyNumberFormat="1" applyFont="1" applyFill="1" applyBorder="1" applyAlignment="1"/>
    <xf numFmtId="164" fontId="18" fillId="0" borderId="0" xfId="0" applyNumberFormat="1" applyFont="1" applyFill="1" applyBorder="1" applyAlignment="1"/>
    <xf numFmtId="164" fontId="18" fillId="4" borderId="1" xfId="0" applyNumberFormat="1" applyFont="1" applyFill="1" applyBorder="1" applyAlignment="1"/>
    <xf numFmtId="0" fontId="8" fillId="0" borderId="0" xfId="0" applyFont="1" applyFill="1" applyBorder="1" applyAlignment="1">
      <alignment horizontal="center" wrapText="1"/>
    </xf>
    <xf numFmtId="10" fontId="9" fillId="0" borderId="0" xfId="0" applyNumberFormat="1" applyFont="1" applyFill="1" applyBorder="1" applyAlignment="1"/>
    <xf numFmtId="0" fontId="19" fillId="0" borderId="0" xfId="0" applyFont="1" applyAlignment="1"/>
    <xf numFmtId="0" fontId="9" fillId="0" borderId="0" xfId="0" applyFont="1" applyAlignment="1"/>
    <xf numFmtId="2" fontId="9" fillId="0" borderId="0" xfId="2" applyNumberFormat="1" applyFont="1" applyFill="1" applyBorder="1" applyAlignment="1"/>
    <xf numFmtId="2" fontId="9" fillId="0" borderId="0" xfId="2" applyNumberFormat="1" applyFont="1" applyFill="1" applyBorder="1" applyAlignment="1">
      <alignment horizontal="right"/>
    </xf>
    <xf numFmtId="0" fontId="9" fillId="0" borderId="0" xfId="0" applyFont="1" applyBorder="1" applyAlignment="1"/>
    <xf numFmtId="2" fontId="9" fillId="0" borderId="0" xfId="0" applyNumberFormat="1" applyFont="1" applyFill="1" applyBorder="1" applyAlignment="1">
      <alignment horizontal="right" wrapText="1"/>
    </xf>
    <xf numFmtId="2" fontId="8" fillId="0" borderId="0" xfId="0" applyNumberFormat="1" applyFont="1" applyFill="1" applyBorder="1" applyAlignment="1">
      <alignment horizontal="right" wrapText="1"/>
    </xf>
    <xf numFmtId="0" fontId="8" fillId="0" borderId="0" xfId="0" applyFont="1" applyFill="1" applyAlignment="1"/>
    <xf numFmtId="2" fontId="8" fillId="0" borderId="0" xfId="2" applyNumberFormat="1" applyFont="1" applyFill="1" applyBorder="1" applyAlignment="1"/>
    <xf numFmtId="0" fontId="8" fillId="0" borderId="0" xfId="0" applyFont="1" applyAlignment="1"/>
    <xf numFmtId="2" fontId="8" fillId="0" borderId="0" xfId="0" applyNumberFormat="1" applyFont="1" applyFill="1" applyBorder="1" applyAlignment="1"/>
    <xf numFmtId="0" fontId="21" fillId="0" borderId="0" xfId="0" applyFont="1" applyAlignment="1"/>
    <xf numFmtId="0" fontId="20" fillId="0" borderId="0" xfId="0" applyFont="1" applyFill="1" applyBorder="1" applyAlignment="1">
      <alignment horizontal="right"/>
    </xf>
    <xf numFmtId="10" fontId="9" fillId="0" borderId="0" xfId="2" applyNumberFormat="1" applyFont="1" applyFill="1" applyBorder="1" applyAlignment="1"/>
    <xf numFmtId="0" fontId="9" fillId="0" borderId="0" xfId="0" applyFont="1" applyFill="1" applyBorder="1" applyAlignment="1"/>
    <xf numFmtId="2" fontId="8" fillId="7" borderId="0" xfId="0" applyNumberFormat="1" applyFont="1" applyFill="1" applyBorder="1" applyAlignment="1">
      <alignment horizontal="right" wrapText="1"/>
    </xf>
    <xf numFmtId="9" fontId="8" fillId="7" borderId="0" xfId="2" applyNumberFormat="1" applyFont="1" applyFill="1" applyBorder="1" applyAlignment="1">
      <alignment horizontal="right" wrapText="1"/>
    </xf>
    <xf numFmtId="3" fontId="8" fillId="7" borderId="0" xfId="0" applyNumberFormat="1" applyFont="1" applyFill="1" applyAlignment="1"/>
    <xf numFmtId="9" fontId="8" fillId="7" borderId="0" xfId="2" applyFont="1" applyFill="1" applyAlignment="1"/>
    <xf numFmtId="2" fontId="8" fillId="0" borderId="0" xfId="0" applyNumberFormat="1" applyFont="1" applyFill="1" applyBorder="1" applyAlignment="1">
      <alignment horizontal="right"/>
    </xf>
    <xf numFmtId="2" fontId="8" fillId="0" borderId="0" xfId="2" applyNumberFormat="1" applyFont="1" applyFill="1" applyBorder="1" applyAlignment="1">
      <alignment horizontal="right"/>
    </xf>
    <xf numFmtId="2" fontId="8" fillId="7" borderId="0" xfId="2" applyNumberFormat="1" applyFont="1" applyFill="1" applyBorder="1" applyAlignment="1">
      <alignment horizontal="right"/>
    </xf>
    <xf numFmtId="2" fontId="8" fillId="7" borderId="0" xfId="0" applyNumberFormat="1" applyFont="1" applyFill="1" applyBorder="1" applyAlignment="1">
      <alignment horizontal="right"/>
    </xf>
    <xf numFmtId="9" fontId="8" fillId="7" borderId="0" xfId="2" applyFont="1" applyFill="1" applyBorder="1" applyAlignment="1">
      <alignment horizontal="right"/>
    </xf>
    <xf numFmtId="0" fontId="22" fillId="0" borderId="0" xfId="0" applyFont="1" applyFill="1" applyBorder="1" applyAlignment="1"/>
    <xf numFmtId="10" fontId="8" fillId="7" borderId="0" xfId="2" applyNumberFormat="1" applyFont="1" applyFill="1" applyAlignment="1"/>
    <xf numFmtId="164" fontId="8" fillId="7" borderId="0" xfId="0" applyNumberFormat="1" applyFont="1" applyFill="1" applyBorder="1" applyAlignment="1">
      <alignment horizontal="center" wrapText="1"/>
    </xf>
    <xf numFmtId="10" fontId="8" fillId="7" borderId="0" xfId="2" applyNumberFormat="1" applyFont="1" applyFill="1" applyBorder="1" applyAlignment="1">
      <alignment horizontal="center" wrapText="1"/>
    </xf>
    <xf numFmtId="164" fontId="11" fillId="6" borderId="9" xfId="0" applyNumberFormat="1" applyFont="1" applyFill="1" applyBorder="1" applyAlignment="1">
      <alignment horizontal="right" wrapText="1"/>
    </xf>
    <xf numFmtId="3" fontId="11" fillId="6" borderId="8" xfId="0" applyNumberFormat="1" applyFont="1" applyFill="1" applyBorder="1" applyAlignment="1">
      <alignment horizontal="right" wrapText="1"/>
    </xf>
    <xf numFmtId="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4" fontId="4" fillId="0" borderId="1" xfId="0" applyNumberFormat="1" applyFont="1" applyFill="1" applyBorder="1"/>
    <xf numFmtId="4" fontId="4" fillId="0" borderId="1" xfId="0" applyNumberFormat="1" applyFont="1" applyFill="1" applyBorder="1" applyAlignment="1">
      <alignment horizontal="right"/>
    </xf>
    <xf numFmtId="4" fontId="4" fillId="0" borderId="1" xfId="0" applyNumberFormat="1" applyFont="1" applyFill="1" applyBorder="1" applyAlignment="1"/>
    <xf numFmtId="4" fontId="4" fillId="0" borderId="1" xfId="2" applyNumberFormat="1" applyFont="1" applyFill="1" applyBorder="1" applyAlignment="1">
      <alignment horizontal="right"/>
    </xf>
    <xf numFmtId="4" fontId="3" fillId="8" borderId="0" xfId="0" applyNumberFormat="1" applyFont="1" applyFill="1" applyBorder="1" applyAlignment="1">
      <alignment horizontal="right" wrapText="1"/>
    </xf>
    <xf numFmtId="4" fontId="3" fillId="7" borderId="0" xfId="2" applyNumberFormat="1" applyFont="1" applyFill="1" applyBorder="1" applyAlignment="1">
      <alignment horizontal="right"/>
    </xf>
    <xf numFmtId="4" fontId="3" fillId="0" borderId="0" xfId="2" applyNumberFormat="1" applyFont="1" applyFill="1" applyBorder="1" applyAlignment="1"/>
    <xf numFmtId="4" fontId="4" fillId="0" borderId="0" xfId="2" applyNumberFormat="1" applyFont="1" applyFill="1" applyBorder="1" applyAlignment="1">
      <alignment horizontal="right"/>
    </xf>
    <xf numFmtId="4" fontId="4" fillId="0" borderId="7" xfId="2" applyNumberFormat="1" applyFont="1" applyFill="1" applyBorder="1" applyAlignment="1">
      <alignment horizontal="right"/>
    </xf>
    <xf numFmtId="4" fontId="3" fillId="7" borderId="0" xfId="0" applyNumberFormat="1" applyFont="1" applyFill="1" applyBorder="1" applyAlignment="1">
      <alignment horizontal="right"/>
    </xf>
    <xf numFmtId="4" fontId="3" fillId="0" borderId="0" xfId="0" applyNumberFormat="1" applyFont="1" applyFill="1" applyBorder="1" applyAlignment="1"/>
    <xf numFmtId="4" fontId="4" fillId="0" borderId="0" xfId="0" applyNumberFormat="1" applyFont="1" applyFill="1" applyBorder="1" applyAlignment="1">
      <alignment horizontal="right"/>
    </xf>
    <xf numFmtId="4" fontId="4" fillId="0" borderId="7" xfId="0" applyNumberFormat="1" applyFont="1" applyFill="1" applyBorder="1" applyAlignment="1">
      <alignment horizontal="right"/>
    </xf>
    <xf numFmtId="4" fontId="3" fillId="8" borderId="1" xfId="2" applyNumberFormat="1" applyFont="1" applyFill="1" applyBorder="1" applyAlignment="1">
      <alignment horizontal="right"/>
    </xf>
    <xf numFmtId="4" fontId="3" fillId="0" borderId="7" xfId="0" applyNumberFormat="1" applyFont="1" applyFill="1" applyBorder="1" applyAlignment="1"/>
    <xf numFmtId="4" fontId="4" fillId="0" borderId="0" xfId="0" applyNumberFormat="1" applyFont="1" applyBorder="1" applyAlignment="1"/>
    <xf numFmtId="4" fontId="2" fillId="0" borderId="0" xfId="0" applyNumberFormat="1" applyFont="1"/>
    <xf numFmtId="4" fontId="3" fillId="0" borderId="1" xfId="0" applyNumberFormat="1" applyFont="1" applyBorder="1" applyAlignment="1">
      <alignment horizontal="right" wrapText="1"/>
    </xf>
    <xf numFmtId="4" fontId="3" fillId="0" borderId="1" xfId="0" applyNumberFormat="1" applyFont="1" applyBorder="1" applyAlignment="1">
      <alignment horizontal="right"/>
    </xf>
    <xf numFmtId="4" fontId="11" fillId="6" borderId="8" xfId="0" applyNumberFormat="1" applyFont="1" applyFill="1" applyBorder="1" applyAlignment="1">
      <alignment horizontal="right" wrapText="1"/>
    </xf>
    <xf numFmtId="4" fontId="12" fillId="6" borderId="8" xfId="0" applyNumberFormat="1" applyFont="1" applyFill="1" applyBorder="1" applyAlignment="1">
      <alignment horizontal="center" vertical="center" wrapText="1"/>
    </xf>
    <xf numFmtId="4" fontId="3" fillId="9" borderId="0" xfId="0" applyNumberFormat="1" applyFont="1" applyFill="1" applyBorder="1" applyAlignment="1">
      <alignment horizontal="right"/>
    </xf>
    <xf numFmtId="4" fontId="8" fillId="3" borderId="0" xfId="0" applyNumberFormat="1" applyFont="1" applyFill="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4" fillId="0" borderId="1" xfId="0" applyFont="1" applyFill="1" applyBorder="1" applyAlignment="1">
      <alignment horizontal="center"/>
    </xf>
    <xf numFmtId="2" fontId="4" fillId="4" borderId="12" xfId="2" applyNumberFormat="1" applyFont="1" applyFill="1" applyBorder="1" applyAlignment="1">
      <alignment horizontal="right"/>
    </xf>
    <xf numFmtId="0" fontId="10" fillId="0" borderId="0" xfId="0" applyFont="1" applyAlignment="1">
      <alignment horizontal="center"/>
    </xf>
    <xf numFmtId="164" fontId="10" fillId="0" borderId="0" xfId="0" applyNumberFormat="1" applyFont="1"/>
    <xf numFmtId="10" fontId="3" fillId="0" borderId="0" xfId="2" applyNumberFormat="1" applyFont="1"/>
    <xf numFmtId="3" fontId="10" fillId="0" borderId="0" xfId="0" applyNumberFormat="1"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4" fontId="4" fillId="0" borderId="1" xfId="2" applyNumberFormat="1" applyFont="1" applyFill="1" applyBorder="1" applyAlignment="1"/>
    <xf numFmtId="4" fontId="4" fillId="0" borderId="1" xfId="4" applyNumberFormat="1" applyFont="1" applyFill="1" applyBorder="1" applyAlignment="1">
      <alignment horizontal="right" wrapText="1"/>
    </xf>
    <xf numFmtId="3" fontId="4" fillId="0" borderId="3" xfId="0" applyNumberFormat="1" applyFont="1" applyFill="1" applyBorder="1" applyAlignment="1"/>
    <xf numFmtId="3" fontId="4" fillId="0" borderId="4" xfId="0" applyNumberFormat="1" applyFont="1" applyFill="1" applyBorder="1" applyAlignment="1"/>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xf numFmtId="164" fontId="4" fillId="0" borderId="2" xfId="0" applyNumberFormat="1" applyFont="1" applyFill="1" applyBorder="1" applyAlignment="1"/>
    <xf numFmtId="4" fontId="4" fillId="0" borderId="1" xfId="5" applyNumberFormat="1" applyFont="1" applyFill="1" applyBorder="1" applyAlignment="1"/>
    <xf numFmtId="2" fontId="4" fillId="0" borderId="1" xfId="6" applyNumberFormat="1" applyFont="1" applyFill="1" applyBorder="1" applyAlignment="1">
      <alignment horizontal="right"/>
    </xf>
    <xf numFmtId="4" fontId="4" fillId="0" borderId="1" xfId="6" applyNumberFormat="1" applyFont="1" applyFill="1" applyBorder="1" applyAlignment="1"/>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2" fontId="4" fillId="0" borderId="1" xfId="4" applyNumberFormat="1" applyFont="1" applyFill="1" applyBorder="1" applyAlignment="1">
      <alignment horizontal="right" wrapText="1"/>
    </xf>
    <xf numFmtId="2" fontId="10" fillId="0" borderId="0" xfId="0" applyNumberFormat="1" applyFont="1"/>
    <xf numFmtId="4" fontId="4" fillId="0" borderId="1" xfId="4" applyNumberFormat="1" applyFont="1" applyFill="1" applyBorder="1" applyAlignment="1"/>
    <xf numFmtId="165" fontId="2" fillId="0" borderId="0" xfId="0" applyNumberFormat="1" applyFont="1" applyBorder="1"/>
    <xf numFmtId="2" fontId="2" fillId="0" borderId="0" xfId="0" applyNumberFormat="1" applyFo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4" fillId="0"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4" fontId="3" fillId="0" borderId="1" xfId="0" applyNumberFormat="1" applyFont="1" applyFill="1" applyBorder="1" applyAlignment="1">
      <alignment horizontal="right" wrapText="1"/>
    </xf>
    <xf numFmtId="4" fontId="3" fillId="0" borderId="1" xfId="0" applyNumberFormat="1" applyFont="1" applyFill="1" applyBorder="1" applyAlignment="1">
      <alignment horizontal="right"/>
    </xf>
    <xf numFmtId="0" fontId="9" fillId="0" borderId="0" xfId="0" applyFont="1" applyFill="1" applyAlignment="1"/>
    <xf numFmtId="0" fontId="15" fillId="6" borderId="1" xfId="0" applyFont="1" applyFill="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6" xfId="0" applyFont="1" applyFill="1" applyBorder="1" applyAlignment="1">
      <alignment horizontal="center" wrapText="1"/>
    </xf>
    <xf numFmtId="0" fontId="0" fillId="0" borderId="0" xfId="0" applyAlignment="1"/>
    <xf numFmtId="0" fontId="3" fillId="4" borderId="4"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xf>
    <xf numFmtId="0" fontId="3" fillId="4" borderId="1" xfId="0" applyFont="1" applyFill="1" applyBorder="1" applyAlignment="1">
      <alignment horizontal="left" wrapText="1"/>
    </xf>
    <xf numFmtId="4" fontId="3" fillId="4" borderId="4" xfId="0" applyNumberFormat="1" applyFont="1" applyFill="1" applyBorder="1" applyAlignment="1"/>
    <xf numFmtId="4" fontId="3" fillId="4" borderId="11" xfId="0" applyNumberFormat="1" applyFont="1" applyFill="1" applyBorder="1" applyAlignment="1"/>
    <xf numFmtId="4" fontId="3" fillId="4" borderId="12" xfId="0" applyNumberFormat="1" applyFont="1" applyFill="1" applyBorder="1" applyAlignment="1"/>
    <xf numFmtId="0" fontId="11" fillId="6" borderId="13" xfId="0" applyFont="1" applyFill="1" applyBorder="1" applyAlignment="1">
      <alignment horizontal="left" wrapText="1"/>
    </xf>
    <xf numFmtId="0" fontId="11" fillId="6" borderId="0" xfId="0" applyFont="1" applyFill="1" applyBorder="1" applyAlignment="1">
      <alignment horizontal="left" wrapText="1"/>
    </xf>
    <xf numFmtId="0" fontId="11" fillId="6" borderId="14" xfId="0" applyFont="1" applyFill="1" applyBorder="1" applyAlignment="1">
      <alignment horizontal="left" wrapText="1"/>
    </xf>
    <xf numFmtId="0" fontId="13" fillId="0" borderId="3" xfId="0" applyNumberFormat="1" applyFont="1" applyBorder="1" applyAlignment="1">
      <alignment horizontal="left" wrapText="1"/>
    </xf>
    <xf numFmtId="0" fontId="13" fillId="0" borderId="10" xfId="0" applyNumberFormat="1" applyFont="1" applyBorder="1" applyAlignment="1">
      <alignment horizontal="left" wrapText="1"/>
    </xf>
    <xf numFmtId="0" fontId="14" fillId="0" borderId="15" xfId="0" applyFont="1" applyBorder="1" applyAlignment="1">
      <alignment horizontal="left"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3" fontId="3" fillId="0" borderId="0" xfId="0" applyNumberFormat="1" applyFont="1" applyBorder="1" applyAlignment="1">
      <alignment horizontal="right" wrapText="1"/>
    </xf>
    <xf numFmtId="0" fontId="0" fillId="0" borderId="0" xfId="0" applyBorder="1" applyAlignment="1">
      <alignment horizontal="right"/>
    </xf>
    <xf numFmtId="0" fontId="8" fillId="0" borderId="7" xfId="0" applyFont="1" applyFill="1" applyBorder="1" applyAlignment="1">
      <alignment horizontal="center" wrapText="1"/>
    </xf>
  </cellXfs>
  <cellStyles count="7">
    <cellStyle name="Accent2" xfId="6" builtinId="33"/>
    <cellStyle name="Bad" xfId="5" builtinId="27"/>
    <cellStyle name="Calculation" xfId="4" builtinId="22"/>
    <cellStyle name="Normal" xfId="0" builtinId="0"/>
    <cellStyle name="Normal 2" xfId="1"/>
    <cellStyle name="Percent" xfId="2" builtinId="5"/>
    <cellStyle name="Percent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31" activePane="bottomLeft" state="frozen"/>
      <selection pane="bottomLeft" activeCell="A39" sqref="A39:M39"/>
    </sheetView>
  </sheetViews>
  <sheetFormatPr defaultRowHeight="12.75" x14ac:dyDescent="0.2"/>
  <cols>
    <col min="1" max="1" width="36.85546875" style="1" customWidth="1"/>
    <col min="2" max="2" width="8.5703125" style="8" customWidth="1"/>
    <col min="3" max="3" width="8.8554687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58</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1</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142" t="s">
        <v>4</v>
      </c>
      <c r="I3" s="142" t="s">
        <v>5</v>
      </c>
      <c r="J3" s="142" t="s">
        <v>6</v>
      </c>
      <c r="K3" s="142" t="s">
        <v>7</v>
      </c>
      <c r="L3" s="117" t="s">
        <v>54</v>
      </c>
      <c r="M3" s="143"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x14ac:dyDescent="0.2">
      <c r="A6" s="69" t="s">
        <v>27</v>
      </c>
      <c r="B6" s="29" t="s">
        <v>9</v>
      </c>
      <c r="C6" s="29" t="s">
        <v>26</v>
      </c>
      <c r="D6" s="30">
        <v>36433</v>
      </c>
      <c r="E6" s="164">
        <v>14.667999999999999</v>
      </c>
      <c r="F6" s="76">
        <v>26760</v>
      </c>
      <c r="G6" s="119">
        <v>3.4683756140811761</v>
      </c>
      <c r="H6" s="160">
        <v>3.4683756140811761</v>
      </c>
      <c r="I6" s="160">
        <v>6.1530270461985337</v>
      </c>
      <c r="J6" s="160">
        <v>3.0977672805034828</v>
      </c>
      <c r="K6" s="160">
        <v>6.391946918334912</v>
      </c>
      <c r="L6" s="160">
        <v>3.7731903129160749</v>
      </c>
      <c r="M6" s="160">
        <v>5.7776297823537659</v>
      </c>
      <c r="N6" s="89">
        <v>5.8035482472820421</v>
      </c>
      <c r="O6" s="89"/>
    </row>
    <row r="7" spans="1:17" s="2" customFormat="1" ht="12.75" customHeight="1" x14ac:dyDescent="0.2">
      <c r="A7" s="70" t="s">
        <v>34</v>
      </c>
      <c r="B7" s="29" t="s">
        <v>9</v>
      </c>
      <c r="C7" s="29" t="s">
        <v>21</v>
      </c>
      <c r="D7" s="32">
        <v>40834</v>
      </c>
      <c r="E7" s="165">
        <v>1.9370000000000001</v>
      </c>
      <c r="F7" s="33">
        <v>2585</v>
      </c>
      <c r="G7" s="120">
        <v>-0.13</v>
      </c>
      <c r="H7" s="120">
        <v>-0.13</v>
      </c>
      <c r="I7" s="120">
        <v>4.16</v>
      </c>
      <c r="J7" s="120"/>
      <c r="K7" s="120"/>
      <c r="L7" s="120"/>
      <c r="M7" s="122">
        <v>3.97</v>
      </c>
      <c r="N7" s="90">
        <v>0.88</v>
      </c>
      <c r="O7" s="90"/>
      <c r="P7" s="91"/>
      <c r="Q7" s="91"/>
    </row>
    <row r="8" spans="1:17" s="2" customFormat="1" ht="12.75" customHeight="1" x14ac:dyDescent="0.2">
      <c r="A8" s="70" t="s">
        <v>38</v>
      </c>
      <c r="B8" s="12" t="s">
        <v>9</v>
      </c>
      <c r="C8" s="12" t="s">
        <v>21</v>
      </c>
      <c r="D8" s="30">
        <v>36738</v>
      </c>
      <c r="E8" s="166">
        <v>42.314557999999998</v>
      </c>
      <c r="F8" s="31">
        <v>40476</v>
      </c>
      <c r="G8" s="179">
        <v>1.08</v>
      </c>
      <c r="H8" s="161">
        <v>1.08</v>
      </c>
      <c r="I8" s="161">
        <v>4.63</v>
      </c>
      <c r="J8" s="161">
        <v>2.79</v>
      </c>
      <c r="K8" s="161">
        <v>4.96</v>
      </c>
      <c r="L8" s="161">
        <v>4.43</v>
      </c>
      <c r="M8" s="161">
        <v>4.92</v>
      </c>
      <c r="N8" s="92">
        <v>2.13</v>
      </c>
      <c r="O8" s="92"/>
      <c r="P8" s="91"/>
      <c r="Q8" s="91"/>
    </row>
    <row r="9" spans="1:17" ht="12.75" customHeight="1" x14ac:dyDescent="0.2">
      <c r="A9" s="71" t="s">
        <v>13</v>
      </c>
      <c r="B9" s="34" t="s">
        <v>9</v>
      </c>
      <c r="C9" s="34" t="s">
        <v>21</v>
      </c>
      <c r="D9" s="35">
        <v>37816</v>
      </c>
      <c r="E9" s="167">
        <v>10.0295331203255</v>
      </c>
      <c r="F9" s="162">
        <v>20590</v>
      </c>
      <c r="G9" s="121">
        <v>2.0166762365607438</v>
      </c>
      <c r="H9" s="122">
        <v>2.0166762365607438</v>
      </c>
      <c r="I9" s="122">
        <v>5.6288610844546394</v>
      </c>
      <c r="J9" s="122">
        <v>3.3889837251974697</v>
      </c>
      <c r="K9" s="122">
        <v>6.6236718272698836</v>
      </c>
      <c r="L9" s="122">
        <v>2.6990462394952175</v>
      </c>
      <c r="M9" s="122">
        <v>2.773269126295852</v>
      </c>
      <c r="N9" s="90">
        <v>3.1220809445130282</v>
      </c>
      <c r="O9" s="90"/>
    </row>
    <row r="10" spans="1:17" s="24" customFormat="1" ht="23.25" customHeight="1" x14ac:dyDescent="0.2">
      <c r="A10" s="51" t="s">
        <v>44</v>
      </c>
      <c r="B10" s="52" t="s">
        <v>9</v>
      </c>
      <c r="C10" s="52"/>
      <c r="D10" s="53"/>
      <c r="E10" s="75">
        <f>SUM(E6:E9)</f>
        <v>68.949091120325491</v>
      </c>
      <c r="F10" s="54">
        <f>SUM(F6:F9)</f>
        <v>90411</v>
      </c>
      <c r="G10" s="123">
        <f>($E$6*G6+$E$7*G7+$E$8*G8+$E$9*G9+$E$37*G37)/($E$10+$E$37)</f>
        <v>2.0032204945613787</v>
      </c>
      <c r="H10" s="123">
        <f t="shared" ref="H10:M10" si="0">($E$6*H6+$E$7*H7+$E$8*H8+$E$9*H9+$E$37*H37)/($E$10+$E$37)</f>
        <v>2.0032204945613787</v>
      </c>
      <c r="I10" s="123">
        <f t="shared" si="0"/>
        <v>5.2709804038929091</v>
      </c>
      <c r="J10" s="123">
        <f>($E$6*J6+$E$8*J8+$E$9*J9+$E$37*J37)/($E$10-$E$7+$E$37)</f>
        <v>3.0983126204402844</v>
      </c>
      <c r="K10" s="123">
        <f>($E$6*K6+$E$8*K8+$E$9*K9+$E$37*K37)/($E$10-$E$7+$E$37)</f>
        <v>5.6058011861783541</v>
      </c>
      <c r="L10" s="123">
        <f>($E$6*L6+$E$8*L8+$E$9*L9+$E$37*L37)/($E$10-$E$7+$E$37)</f>
        <v>4.3322768102394873</v>
      </c>
      <c r="M10" s="123">
        <f t="shared" si="0"/>
        <v>5.6760334131216821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2" t="s">
        <v>28</v>
      </c>
      <c r="B13" s="29" t="s">
        <v>9</v>
      </c>
      <c r="C13" s="29" t="s">
        <v>19</v>
      </c>
      <c r="D13" s="30">
        <v>36606</v>
      </c>
      <c r="E13" s="164">
        <v>4.8769999999999998</v>
      </c>
      <c r="F13" s="76">
        <v>20522</v>
      </c>
      <c r="G13" s="119">
        <v>4.6435998210424545</v>
      </c>
      <c r="H13" s="160">
        <v>4.6435998210424545</v>
      </c>
      <c r="I13" s="160">
        <v>8.0549603487540367</v>
      </c>
      <c r="J13" s="160">
        <v>3.7490192205307915</v>
      </c>
      <c r="K13" s="160">
        <v>5.7214569094533596</v>
      </c>
      <c r="L13" s="160">
        <v>3.5976042244753037</v>
      </c>
      <c r="M13" s="160">
        <v>5.5762988382803025</v>
      </c>
      <c r="N13" s="95">
        <v>5.5979870798789744</v>
      </c>
      <c r="O13" s="95"/>
      <c r="P13" s="96"/>
      <c r="Q13" s="96"/>
    </row>
    <row r="14" spans="1:17" x14ac:dyDescent="0.2">
      <c r="A14" s="73" t="s">
        <v>30</v>
      </c>
      <c r="B14" s="29" t="s">
        <v>9</v>
      </c>
      <c r="C14" s="29" t="s">
        <v>20</v>
      </c>
      <c r="D14" s="30">
        <v>36091</v>
      </c>
      <c r="E14" s="165">
        <v>0.33238507000000028</v>
      </c>
      <c r="F14" s="33">
        <v>535</v>
      </c>
      <c r="G14" s="120">
        <v>3.4997632610616947</v>
      </c>
      <c r="H14" s="120">
        <v>3.4997632610616947</v>
      </c>
      <c r="I14" s="120">
        <v>5.4376531227228853</v>
      </c>
      <c r="J14" s="120">
        <v>3.6132627674284823</v>
      </c>
      <c r="K14" s="120">
        <v>5.3912441562363966</v>
      </c>
      <c r="L14" s="120"/>
      <c r="M14" s="120">
        <v>4.8503453479609604</v>
      </c>
      <c r="N14" s="106">
        <v>4.7583336891170003</v>
      </c>
      <c r="O14" s="106"/>
      <c r="P14" s="96"/>
      <c r="Q14" s="96"/>
    </row>
    <row r="15" spans="1:17" ht="12.75" customHeight="1" x14ac:dyDescent="0.2">
      <c r="A15" s="72" t="s">
        <v>35</v>
      </c>
      <c r="B15" s="29" t="s">
        <v>9</v>
      </c>
      <c r="C15" s="29" t="s">
        <v>19</v>
      </c>
      <c r="D15" s="30">
        <v>39514</v>
      </c>
      <c r="E15" s="165">
        <v>0.45024634000000052</v>
      </c>
      <c r="F15" s="33">
        <v>1694</v>
      </c>
      <c r="G15" s="120">
        <v>3.161177756956457</v>
      </c>
      <c r="H15" s="120">
        <v>3.161177756956457</v>
      </c>
      <c r="I15" s="120">
        <v>4.6185107078859922</v>
      </c>
      <c r="J15" s="120">
        <v>3.0669781437008492</v>
      </c>
      <c r="K15" s="120">
        <v>5.1719388513413067</v>
      </c>
      <c r="L15" s="120"/>
      <c r="M15" s="120">
        <v>5.2143160737437411</v>
      </c>
      <c r="N15" s="106">
        <v>4.7292889350974754</v>
      </c>
      <c r="O15" s="106"/>
      <c r="P15" s="96"/>
      <c r="Q15" s="96"/>
    </row>
    <row r="16" spans="1:17" x14ac:dyDescent="0.2">
      <c r="A16" s="70" t="s">
        <v>57</v>
      </c>
      <c r="B16" s="148" t="s">
        <v>9</v>
      </c>
      <c r="C16" s="148" t="s">
        <v>20</v>
      </c>
      <c r="D16" s="36">
        <v>38360</v>
      </c>
      <c r="E16" s="165">
        <v>0.28699999999999998</v>
      </c>
      <c r="F16" s="33">
        <v>1977</v>
      </c>
      <c r="G16" s="120">
        <v>2.43805069919516</v>
      </c>
      <c r="H16" s="120">
        <v>2.43805069919516</v>
      </c>
      <c r="I16" s="120">
        <v>2.6139323717614404</v>
      </c>
      <c r="J16" s="120">
        <v>1.7011520571546646</v>
      </c>
      <c r="K16" s="120">
        <v>3.1121511601257796</v>
      </c>
      <c r="L16" s="120"/>
      <c r="M16" s="120">
        <v>2.72767644112343</v>
      </c>
      <c r="N16" s="106">
        <v>3.8446513696173801</v>
      </c>
      <c r="O16" s="106"/>
      <c r="P16" s="96"/>
      <c r="Q16" s="96"/>
    </row>
    <row r="17" spans="1:17" x14ac:dyDescent="0.2">
      <c r="A17" s="70" t="s">
        <v>56</v>
      </c>
      <c r="B17" s="12" t="s">
        <v>9</v>
      </c>
      <c r="C17" s="12" t="s">
        <v>19</v>
      </c>
      <c r="D17" s="36">
        <v>39182</v>
      </c>
      <c r="E17" s="165">
        <v>9.0999999999999998E-2</v>
      </c>
      <c r="F17" s="33">
        <v>258</v>
      </c>
      <c r="G17" s="120">
        <v>2.5463675497045646</v>
      </c>
      <c r="H17" s="120">
        <v>2.5463675497045646</v>
      </c>
      <c r="I17" s="120">
        <v>2.4195959045295146</v>
      </c>
      <c r="J17" s="120">
        <v>0.72549559721567136</v>
      </c>
      <c r="K17" s="120">
        <v>0.40903102800808888</v>
      </c>
      <c r="L17" s="120"/>
      <c r="M17" s="120">
        <v>7.5988208455186168E-2</v>
      </c>
      <c r="N17" s="106">
        <v>4.48748101056482</v>
      </c>
      <c r="O17" s="106"/>
      <c r="P17" s="96"/>
      <c r="Q17" s="96"/>
    </row>
    <row r="18" spans="1:17" x14ac:dyDescent="0.2">
      <c r="A18" s="73" t="s">
        <v>39</v>
      </c>
      <c r="B18" s="12" t="s">
        <v>9</v>
      </c>
      <c r="C18" s="12" t="s">
        <v>19</v>
      </c>
      <c r="D18" s="32">
        <v>38245</v>
      </c>
      <c r="E18" s="166">
        <v>9.4070739999999997</v>
      </c>
      <c r="F18" s="31">
        <v>27618</v>
      </c>
      <c r="G18" s="179">
        <v>3.31</v>
      </c>
      <c r="H18" s="161">
        <v>3.31</v>
      </c>
      <c r="I18" s="161">
        <v>6.19</v>
      </c>
      <c r="J18" s="161">
        <v>3.25</v>
      </c>
      <c r="K18" s="161">
        <v>5.09</v>
      </c>
      <c r="L18" s="161"/>
      <c r="M18" s="161">
        <v>5.15</v>
      </c>
      <c r="N18" s="93">
        <v>4.71</v>
      </c>
      <c r="O18" s="93"/>
      <c r="P18" s="96"/>
      <c r="Q18" s="96"/>
    </row>
    <row r="19" spans="1:17" ht="12.75" customHeight="1" x14ac:dyDescent="0.2">
      <c r="A19" s="73" t="s">
        <v>36</v>
      </c>
      <c r="B19" s="29" t="s">
        <v>9</v>
      </c>
      <c r="C19" s="29" t="s">
        <v>32</v>
      </c>
      <c r="D19" s="30">
        <v>39078</v>
      </c>
      <c r="E19" s="166">
        <v>5.4634968013916101</v>
      </c>
      <c r="F19" s="163">
        <v>13633</v>
      </c>
      <c r="G19" s="13">
        <v>11.556108194646209</v>
      </c>
      <c r="H19" s="13">
        <v>11.556108194646209</v>
      </c>
      <c r="I19" s="13">
        <v>11.705023591250562</v>
      </c>
      <c r="J19" s="13">
        <v>2.7808248650247558</v>
      </c>
      <c r="K19" s="13">
        <v>10.51822142999197</v>
      </c>
      <c r="L19" s="120"/>
      <c r="M19" s="13">
        <v>-2.4490313121879659</v>
      </c>
      <c r="N19" s="149">
        <v>13.376676919057218</v>
      </c>
      <c r="O19" s="107"/>
      <c r="P19" s="96"/>
      <c r="Q19" s="96"/>
    </row>
    <row r="20" spans="1:17" ht="12.75" customHeight="1" x14ac:dyDescent="0.2">
      <c r="A20" s="40" t="s">
        <v>43</v>
      </c>
      <c r="B20" s="41" t="s">
        <v>9</v>
      </c>
      <c r="C20" s="41"/>
      <c r="D20" s="42"/>
      <c r="E20" s="80">
        <f>SUM(E13:E19)</f>
        <v>20.908202211391611</v>
      </c>
      <c r="F20" s="43">
        <f>SUM(F13:F19)</f>
        <v>66237</v>
      </c>
      <c r="G20" s="124">
        <f>($E$13*G13+$E$14*G14+$E$15*G15+$E$16*G16+$E$17*G17+$E$18*G18+$E$19*G19)/$E$20</f>
        <v>5.7603723159398026</v>
      </c>
      <c r="H20" s="124">
        <f>($E$13*H13+$E$14*H14+$E$15*H15+$E$16*H16+$E$17*H17+$E$18*H18+$E$19*H19)/$E$20</f>
        <v>5.7603723159398026</v>
      </c>
      <c r="I20" s="124">
        <f>($E$13*I13+$E$14*I14+$E$15*I15+$E$16*I16+$E$17*I17+$E$18*I18+$E$19*I19)/$E$20</f>
        <v>7.9548414074349205</v>
      </c>
      <c r="J20" s="124">
        <f>($E$13*J13+$E$14*J14+$E$15*J15+$E$16*J16+$E$17*J17+$E$18*J18+$E$19*J19)/$E$20</f>
        <v>3.2133860834245933</v>
      </c>
      <c r="K20" s="124">
        <f>($E$13*K13+$E$14*K14+$E$15*K15+$E$16*K16+$E$17*K17+$E$18*K18+$E$19*K19)/($E$20-E14-E15)</f>
        <v>6.8719961944241348</v>
      </c>
      <c r="L20" s="124">
        <f>L13</f>
        <v>3.5976042244753037</v>
      </c>
      <c r="M20" s="124">
        <f>($E$13*M13+$E$14*M14+$E$15*M15+$E$16*M16+$E$17*M17+$E$18*M18+$E$19*M19)/$E$20</f>
        <v>3.2050308432792964</v>
      </c>
      <c r="N20" s="108" t="e">
        <f>E20-#REF!</f>
        <v>#REF!</v>
      </c>
      <c r="O20" s="103" t="e">
        <f>N20/#REF!</f>
        <v>#REF!</v>
      </c>
      <c r="P20" s="104" t="e">
        <f>F20-#REF!</f>
        <v>#REF!</v>
      </c>
      <c r="Q20" s="105" t="e">
        <f>P20/#REF!</f>
        <v>#REF!</v>
      </c>
    </row>
    <row r="21" spans="1:17" s="17" customFormat="1" ht="12.75" customHeight="1" x14ac:dyDescent="0.2">
      <c r="A21" s="67"/>
      <c r="B21" s="18"/>
      <c r="C21" s="18"/>
      <c r="D21" s="55"/>
      <c r="E21" s="81"/>
      <c r="F21" s="37"/>
      <c r="G21" s="125"/>
      <c r="H21" s="126"/>
      <c r="I21" s="126"/>
      <c r="J21" s="126"/>
      <c r="K21" s="126"/>
      <c r="L21" s="126"/>
      <c r="M21" s="127"/>
      <c r="N21" s="107"/>
      <c r="O21" s="107"/>
      <c r="P21" s="94"/>
      <c r="Q21" s="94"/>
    </row>
    <row r="22" spans="1:17" ht="12.75" customHeight="1" x14ac:dyDescent="0.2">
      <c r="A22" s="72" t="s">
        <v>48</v>
      </c>
      <c r="B22" s="29" t="s">
        <v>10</v>
      </c>
      <c r="C22" s="29" t="s">
        <v>19</v>
      </c>
      <c r="D22" s="30">
        <v>39367</v>
      </c>
      <c r="E22" s="166">
        <v>3.254</v>
      </c>
      <c r="F22" s="31">
        <v>4012</v>
      </c>
      <c r="G22" s="121">
        <v>3.0627916388672016</v>
      </c>
      <c r="H22" s="122">
        <v>3.0627916388672016</v>
      </c>
      <c r="I22" s="122">
        <v>6.023388110794059</v>
      </c>
      <c r="J22" s="122">
        <v>2.7116121336207</v>
      </c>
      <c r="K22" s="122">
        <v>4.6305868278269546</v>
      </c>
      <c r="L22" s="122"/>
      <c r="M22" s="160">
        <v>3.1451633190635597</v>
      </c>
      <c r="N22" s="95">
        <v>3.1596785240594505</v>
      </c>
      <c r="O22" s="95"/>
      <c r="P22" s="96"/>
      <c r="Q22" s="96"/>
    </row>
    <row r="23" spans="1:17" ht="12.75" customHeight="1" x14ac:dyDescent="0.2">
      <c r="A23" s="73" t="s">
        <v>40</v>
      </c>
      <c r="B23" s="12" t="s">
        <v>10</v>
      </c>
      <c r="C23" s="12" t="s">
        <v>19</v>
      </c>
      <c r="D23" s="30">
        <v>37606</v>
      </c>
      <c r="E23" s="166">
        <v>11.888719</v>
      </c>
      <c r="F23" s="31">
        <v>9667</v>
      </c>
      <c r="G23" s="179">
        <v>2.72</v>
      </c>
      <c r="H23" s="161">
        <v>2.72</v>
      </c>
      <c r="I23" s="161">
        <v>6.25</v>
      </c>
      <c r="J23" s="161">
        <v>2.97</v>
      </c>
      <c r="K23" s="161">
        <v>3.89</v>
      </c>
      <c r="L23" s="177">
        <v>3.46</v>
      </c>
      <c r="M23" s="161">
        <v>3.52</v>
      </c>
      <c r="N23" s="93">
        <v>3.92</v>
      </c>
      <c r="O23" s="93"/>
      <c r="P23" s="96"/>
      <c r="Q23" s="96"/>
    </row>
    <row r="24" spans="1:17" ht="12.75" customHeight="1" x14ac:dyDescent="0.2">
      <c r="A24" s="72" t="s">
        <v>15</v>
      </c>
      <c r="B24" s="29" t="s">
        <v>10</v>
      </c>
      <c r="C24" s="29" t="s">
        <v>23</v>
      </c>
      <c r="D24" s="30">
        <v>37834</v>
      </c>
      <c r="E24" s="166">
        <v>18.9949948123867</v>
      </c>
      <c r="F24" s="31">
        <v>34121</v>
      </c>
      <c r="G24" s="121">
        <v>6.0403571817476687</v>
      </c>
      <c r="H24" s="122">
        <v>6.0403571817476687</v>
      </c>
      <c r="I24" s="122">
        <v>8.1807702319263385</v>
      </c>
      <c r="J24" s="122">
        <v>3.5531777645948726</v>
      </c>
      <c r="K24" s="122">
        <v>8.2139517451872646</v>
      </c>
      <c r="L24" s="122">
        <v>3.5106147743328764</v>
      </c>
      <c r="M24" s="122">
        <v>3.5482872505782082</v>
      </c>
      <c r="N24" s="107">
        <v>7.5031440275960204</v>
      </c>
      <c r="O24" s="107"/>
      <c r="P24" s="96"/>
      <c r="Q24" s="96"/>
    </row>
    <row r="25" spans="1:17" ht="12.75" customHeight="1" x14ac:dyDescent="0.2">
      <c r="A25" s="70" t="s">
        <v>14</v>
      </c>
      <c r="B25" s="12" t="s">
        <v>10</v>
      </c>
      <c r="C25" s="12" t="s">
        <v>22</v>
      </c>
      <c r="D25" s="32">
        <v>40834</v>
      </c>
      <c r="E25" s="165">
        <v>1.2110000000000001</v>
      </c>
      <c r="F25" s="33">
        <v>2002</v>
      </c>
      <c r="G25" s="120">
        <v>5.76</v>
      </c>
      <c r="H25" s="120">
        <v>5.76</v>
      </c>
      <c r="I25" s="120">
        <v>5.38</v>
      </c>
      <c r="J25" s="120"/>
      <c r="K25" s="120"/>
      <c r="L25" s="120"/>
      <c r="M25" s="122">
        <v>5.07</v>
      </c>
      <c r="N25" s="107">
        <v>6.75</v>
      </c>
      <c r="O25" s="107"/>
      <c r="P25" s="96"/>
      <c r="Q25" s="96"/>
    </row>
    <row r="26" spans="1:17" ht="13.5" customHeight="1" x14ac:dyDescent="0.2">
      <c r="A26" s="73" t="s">
        <v>17</v>
      </c>
      <c r="B26" s="29" t="s">
        <v>10</v>
      </c>
      <c r="C26" s="29" t="s">
        <v>24</v>
      </c>
      <c r="D26" s="30">
        <v>4.1063829196259997E-2</v>
      </c>
      <c r="E26" s="165">
        <v>4.2700283712120111E-2</v>
      </c>
      <c r="F26" s="33">
        <v>110</v>
      </c>
      <c r="G26" s="120">
        <v>2.1341742814229514</v>
      </c>
      <c r="H26" s="120">
        <v>2.1341742814229514</v>
      </c>
      <c r="I26" s="120">
        <v>5.3515479589381298</v>
      </c>
      <c r="J26" s="120">
        <v>2.9444980264215159</v>
      </c>
      <c r="K26" s="120">
        <v>3.4711957416425632</v>
      </c>
      <c r="L26" s="120"/>
      <c r="M26" s="120">
        <v>4.1563195938716602</v>
      </c>
      <c r="N26" s="106">
        <v>3.687233311839333</v>
      </c>
      <c r="O26" s="106"/>
      <c r="P26" s="96"/>
      <c r="Q26" s="96"/>
    </row>
    <row r="27" spans="1:17" ht="12.75" customHeight="1" x14ac:dyDescent="0.2">
      <c r="A27" s="40" t="s">
        <v>43</v>
      </c>
      <c r="B27" s="41" t="s">
        <v>10</v>
      </c>
      <c r="C27" s="41"/>
      <c r="D27" s="42"/>
      <c r="E27" s="82">
        <f>SUM(E22:E26)</f>
        <v>35.391414096098821</v>
      </c>
      <c r="F27" s="44">
        <f>SUM(F22:F26)</f>
        <v>49912</v>
      </c>
      <c r="G27" s="128">
        <f>($E$22*G22+$E$23*G23+$E$24*G24+$E$25*G25+$E$26*G26)/($E$27)</f>
        <v>4.6369066352319299</v>
      </c>
      <c r="H27" s="128">
        <f>($E$22*H22+$E$23*H23+$E$24*H24+$E$25*H25+$E$26*H26)/($E$27)</f>
        <v>4.6369066352319299</v>
      </c>
      <c r="I27" s="128">
        <f>($E$22*I22+$E$23*I23+$E$24*I24+$E$25*I25+$E$26*I26)/($E$27-$E$25)</f>
        <v>7.4908975261555177</v>
      </c>
      <c r="J27" s="128">
        <f>($E$22*J22+$E$23*J23+$E$24*J24+$E$26*J26)/($E$27-$E$25)</f>
        <v>3.2694573303206953</v>
      </c>
      <c r="K27" s="128">
        <f>($E$22*K22+$E$23*K23+$E$24*K24+$E$26*K26)/($E$27-$E$25)</f>
        <v>6.3629199362036699</v>
      </c>
      <c r="L27" s="128">
        <f>($E$23*L23+$E$24*L24)/($E$23+$E$24)</f>
        <v>3.4911305622673368</v>
      </c>
      <c r="M27" s="128">
        <f>($E$22*M22+$E$23*M23+$E$24*M24+$E$25*M25+$E$26*M26)/($E$27)</f>
        <v>3.5545230242028434</v>
      </c>
      <c r="N27" s="109" t="e">
        <f>E27-#REF!</f>
        <v>#REF!</v>
      </c>
      <c r="O27" s="110" t="e">
        <f>N27/#REF!</f>
        <v>#REF!</v>
      </c>
      <c r="P27" s="104" t="e">
        <f>F27-#REF!</f>
        <v>#REF!</v>
      </c>
      <c r="Q27" s="105" t="e">
        <f>P27/#REF!</f>
        <v>#REF!</v>
      </c>
    </row>
    <row r="28" spans="1:17" s="17" customFormat="1" ht="12.75" customHeight="1" x14ac:dyDescent="0.2">
      <c r="A28" s="67"/>
      <c r="B28" s="18"/>
      <c r="C28" s="18"/>
      <c r="D28" s="55"/>
      <c r="E28" s="83"/>
      <c r="F28" s="38"/>
      <c r="G28" s="129"/>
      <c r="H28" s="130"/>
      <c r="I28" s="130"/>
      <c r="J28" s="130"/>
      <c r="K28" s="130"/>
      <c r="L28" s="130"/>
      <c r="M28" s="131"/>
      <c r="N28" s="106"/>
      <c r="O28" s="106"/>
      <c r="P28" s="94"/>
      <c r="Q28" s="94"/>
    </row>
    <row r="29" spans="1:17" ht="12.75" customHeight="1" x14ac:dyDescent="0.2">
      <c r="A29" s="72" t="s">
        <v>29</v>
      </c>
      <c r="B29" s="29" t="s">
        <v>11</v>
      </c>
      <c r="C29" s="29" t="s">
        <v>19</v>
      </c>
      <c r="D29" s="30">
        <v>38808</v>
      </c>
      <c r="E29" s="164">
        <v>0.58699999999999997</v>
      </c>
      <c r="F29" s="76">
        <v>703</v>
      </c>
      <c r="G29" s="119">
        <v>8.7860284359075891E-2</v>
      </c>
      <c r="H29" s="122">
        <v>8.7860284359075891E-2</v>
      </c>
      <c r="I29" s="122">
        <v>6.0609489409566564</v>
      </c>
      <c r="J29" s="122">
        <v>2.9283922380862526</v>
      </c>
      <c r="K29" s="122">
        <v>4.6333119083781904</v>
      </c>
      <c r="L29" s="122"/>
      <c r="M29" s="160">
        <v>4.8924052098107129</v>
      </c>
      <c r="N29" s="95">
        <v>4.9415156263793891</v>
      </c>
      <c r="O29" s="95"/>
      <c r="P29" s="96"/>
      <c r="Q29" s="96"/>
    </row>
    <row r="30" spans="1:17" ht="12.75" customHeight="1" x14ac:dyDescent="0.2">
      <c r="A30" s="72" t="s">
        <v>16</v>
      </c>
      <c r="B30" s="29" t="s">
        <v>11</v>
      </c>
      <c r="C30" s="29" t="s">
        <v>23</v>
      </c>
      <c r="D30" s="30">
        <v>37816</v>
      </c>
      <c r="E30" s="166">
        <v>1.0153015230498199</v>
      </c>
      <c r="F30" s="31">
        <v>1144</v>
      </c>
      <c r="G30" s="121">
        <v>4.5839061789100022</v>
      </c>
      <c r="H30" s="122">
        <v>4.5839061789100022</v>
      </c>
      <c r="I30" s="122">
        <v>6.1491900500501018</v>
      </c>
      <c r="J30" s="122">
        <v>3.0973879100930413</v>
      </c>
      <c r="K30" s="122">
        <v>7.1138048572993107</v>
      </c>
      <c r="L30" s="122">
        <v>2.7689732403253675</v>
      </c>
      <c r="M30" s="122">
        <v>2.7629191627727812</v>
      </c>
      <c r="N30" s="107">
        <v>6.00590336812723</v>
      </c>
      <c r="O30" s="107"/>
      <c r="P30" s="96"/>
      <c r="Q30" s="96"/>
    </row>
    <row r="31" spans="1:17" ht="12.75" customHeight="1" x14ac:dyDescent="0.2">
      <c r="A31" s="40" t="s">
        <v>43</v>
      </c>
      <c r="B31" s="41" t="s">
        <v>11</v>
      </c>
      <c r="C31" s="45"/>
      <c r="D31" s="46"/>
      <c r="E31" s="82">
        <f>SUM(E29:E30)</f>
        <v>1.6023015230498199</v>
      </c>
      <c r="F31" s="44">
        <f>SUM(F29:F30)</f>
        <v>1847</v>
      </c>
      <c r="G31" s="124">
        <f>($E$29*G29+$E$30*G30)/$E$31</f>
        <v>2.9367886407090884</v>
      </c>
      <c r="H31" s="124">
        <f>($E$29*H29+$E$30*H30)/$E$31</f>
        <v>2.9367886407090884</v>
      </c>
      <c r="I31" s="124">
        <f>($E$29*I29+$E$30*I30)/$E$31</f>
        <v>6.1168630939231043</v>
      </c>
      <c r="J31" s="124">
        <f>($E$29*J29+$E$30*J30)/$E$31</f>
        <v>3.0354766792535628</v>
      </c>
      <c r="K31" s="124">
        <f>($E$29*K29+$E$30*K30)/$E$31</f>
        <v>6.2050811619955368</v>
      </c>
      <c r="L31" s="124">
        <f>L30</f>
        <v>2.7689732403253675</v>
      </c>
      <c r="M31" s="124">
        <f>($E$29*M29+$E$30*M30)/$E$31</f>
        <v>3.5430521724649897</v>
      </c>
      <c r="N31" s="108" t="e">
        <f>E31-#REF!</f>
        <v>#REF!</v>
      </c>
      <c r="O31" s="108" t="e">
        <f>N31/#REF!</f>
        <v>#REF!</v>
      </c>
      <c r="P31" s="104" t="e">
        <f>F31-#REF!</f>
        <v>#REF!</v>
      </c>
      <c r="Q31" s="105" t="e">
        <f>P31/#REF!</f>
        <v>#REF!</v>
      </c>
    </row>
    <row r="32" spans="1:17" s="17" customFormat="1" ht="12.75" customHeight="1" x14ac:dyDescent="0.2">
      <c r="A32" s="67"/>
      <c r="B32" s="18"/>
      <c r="C32" s="18"/>
      <c r="D32" s="55"/>
      <c r="E32" s="83"/>
      <c r="F32" s="38"/>
      <c r="G32" s="129"/>
      <c r="H32" s="126"/>
      <c r="I32" s="126"/>
      <c r="J32" s="126"/>
      <c r="K32" s="126"/>
      <c r="L32" s="126"/>
      <c r="M32" s="127"/>
      <c r="N32" s="107"/>
      <c r="O32" s="107"/>
      <c r="P32" s="94"/>
      <c r="Q32" s="94"/>
    </row>
    <row r="33" spans="1:18" s="24" customFormat="1" ht="21" customHeight="1" x14ac:dyDescent="0.2">
      <c r="A33" s="61" t="s">
        <v>45</v>
      </c>
      <c r="B33" s="62"/>
      <c r="C33" s="62"/>
      <c r="D33" s="62"/>
      <c r="E33" s="82">
        <f>E31+E27+E20</f>
        <v>57.901917830540249</v>
      </c>
      <c r="F33" s="44">
        <f>F31+F27+F20</f>
        <v>117996</v>
      </c>
      <c r="G33" s="132">
        <f>($E$20*G20+$E$27*G27+$E$31*G31)/$E$33</f>
        <v>4.9955397644243762</v>
      </c>
      <c r="H33" s="132">
        <f>($E$20*H20+$E$27*H27+$E$31*H31)/$E$33</f>
        <v>4.9955397644243762</v>
      </c>
      <c r="I33" s="132">
        <f>($E$20*I20+$E$27*I27+$E$31*I31)/$E$33</f>
        <v>7.6204029950932597</v>
      </c>
      <c r="J33" s="132">
        <f>($E$20*J20+$E$27*J27+$E$31*J31)/$E$33</f>
        <v>3.2427353048698992</v>
      </c>
      <c r="K33" s="132">
        <f>($E$20*K20+$E$27*K27+$E$31*K31)/$E$33</f>
        <v>6.5423779650377583</v>
      </c>
      <c r="L33" s="132">
        <f>($E$20*L20+$E$27*L27)/(E20+E27)</f>
        <v>3.530672090356497</v>
      </c>
      <c r="M33" s="132">
        <f>($E$20*M20+$E$27*M27+$E$31*M31)/$E$33</f>
        <v>3.4280050567894027</v>
      </c>
      <c r="N33" s="95"/>
      <c r="O33" s="95"/>
      <c r="P33" s="96"/>
      <c r="Q33" s="96"/>
      <c r="R33" s="25"/>
    </row>
    <row r="34" spans="1:18" s="24" customFormat="1" ht="26.25" customHeight="1" x14ac:dyDescent="0.2">
      <c r="A34" s="228" t="s">
        <v>46</v>
      </c>
      <c r="B34" s="228"/>
      <c r="C34" s="228"/>
      <c r="D34" s="228"/>
      <c r="E34" s="84">
        <f>SUM(E10,E33)</f>
        <v>126.85100895086575</v>
      </c>
      <c r="F34" s="63">
        <f>SUM(F10, F33)</f>
        <v>208407</v>
      </c>
      <c r="G34" s="147"/>
      <c r="H34" s="229"/>
      <c r="I34" s="230"/>
      <c r="J34" s="230"/>
      <c r="K34" s="230"/>
      <c r="L34" s="230"/>
      <c r="M34" s="231"/>
      <c r="N34" s="97"/>
      <c r="O34" s="97"/>
      <c r="P34" s="96"/>
      <c r="Q34" s="96"/>
      <c r="R34" s="25"/>
    </row>
    <row r="35" spans="1:18" s="28" customFormat="1" ht="10.5" customHeight="1" x14ac:dyDescent="0.2">
      <c r="A35" s="68"/>
      <c r="B35" s="56"/>
      <c r="C35" s="56"/>
      <c r="D35" s="56"/>
      <c r="E35" s="57"/>
      <c r="F35" s="38"/>
      <c r="G35" s="129"/>
      <c r="H35" s="129"/>
      <c r="I35" s="129"/>
      <c r="J35" s="129"/>
      <c r="K35" s="129"/>
      <c r="L35" s="129"/>
      <c r="M35" s="133"/>
      <c r="N35" s="97"/>
      <c r="O35" s="97"/>
      <c r="P35" s="94"/>
      <c r="Q35" s="94"/>
      <c r="R35" s="39"/>
    </row>
    <row r="36" spans="1:18" ht="22.5" customHeight="1" x14ac:dyDescent="0.2">
      <c r="A36" s="64" t="s">
        <v>25</v>
      </c>
      <c r="B36" s="58"/>
      <c r="C36" s="58"/>
      <c r="D36" s="58"/>
      <c r="E36" s="59"/>
      <c r="F36" s="60"/>
      <c r="G36" s="134"/>
      <c r="H36" s="135"/>
      <c r="I36" s="135"/>
      <c r="J36" s="135"/>
      <c r="K36" s="135"/>
      <c r="L36" s="135"/>
      <c r="M36" s="135"/>
      <c r="N36" s="111"/>
      <c r="O36" s="111"/>
      <c r="P36" s="96"/>
      <c r="Q36" s="96"/>
      <c r="R36" s="2"/>
    </row>
    <row r="37" spans="1:18" ht="39" customHeight="1" thickBot="1" x14ac:dyDescent="0.25">
      <c r="A37" s="74" t="s">
        <v>41</v>
      </c>
      <c r="B37" s="29" t="s">
        <v>9</v>
      </c>
      <c r="C37" s="29" t="s">
        <v>20</v>
      </c>
      <c r="D37" s="65">
        <v>36495</v>
      </c>
      <c r="E37" s="26">
        <v>38.744</v>
      </c>
      <c r="F37" s="27">
        <v>12073</v>
      </c>
      <c r="G37" s="136">
        <v>2.56</v>
      </c>
      <c r="H37" s="136">
        <v>2.56</v>
      </c>
      <c r="I37" s="136">
        <v>5.6</v>
      </c>
      <c r="J37" s="136">
        <v>3.36</v>
      </c>
      <c r="K37" s="136">
        <v>5.75</v>
      </c>
      <c r="L37" s="136">
        <v>4.8600000000000003</v>
      </c>
      <c r="M37" s="137">
        <v>7.3</v>
      </c>
      <c r="N37" s="106">
        <v>3.16</v>
      </c>
      <c r="O37" s="106"/>
      <c r="P37" s="96"/>
      <c r="Q37" s="96"/>
    </row>
    <row r="38" spans="1:18" ht="31.5" customHeight="1" x14ac:dyDescent="0.2">
      <c r="A38" s="232" t="s">
        <v>63</v>
      </c>
      <c r="B38" s="233"/>
      <c r="C38" s="233"/>
      <c r="D38" s="234"/>
      <c r="E38" s="115">
        <f>(E34+E37)/0.702804</f>
        <v>235.6204702176791</v>
      </c>
      <c r="F38" s="116">
        <f>F34+F37</f>
        <v>220480</v>
      </c>
      <c r="G38" s="138"/>
      <c r="H38" s="139"/>
      <c r="I38" s="139"/>
      <c r="J38" s="139"/>
      <c r="K38" s="139"/>
      <c r="L38" s="139"/>
      <c r="M38" s="139"/>
      <c r="N38" s="113" t="e">
        <f>E38-#REF!</f>
        <v>#REF!</v>
      </c>
      <c r="O38" s="114" t="e">
        <f>N38/#REF!</f>
        <v>#REF!</v>
      </c>
      <c r="P38" s="104" t="e">
        <f>F38-#REF!</f>
        <v>#REF!</v>
      </c>
      <c r="Q38" s="112" t="e">
        <f>P38/#REF!</f>
        <v>#REF!</v>
      </c>
    </row>
    <row r="39" spans="1:18" ht="41.25" customHeight="1" x14ac:dyDescent="0.2">
      <c r="A39" s="235" t="s">
        <v>81</v>
      </c>
      <c r="B39" s="236"/>
      <c r="C39" s="236"/>
      <c r="D39" s="236"/>
      <c r="E39" s="236"/>
      <c r="F39" s="236"/>
      <c r="G39" s="236"/>
      <c r="H39" s="236"/>
      <c r="I39" s="236"/>
      <c r="J39" s="236"/>
      <c r="K39" s="236"/>
      <c r="L39" s="236"/>
      <c r="M39" s="237"/>
      <c r="N39" s="15"/>
      <c r="O39" s="15"/>
    </row>
    <row r="40" spans="1:18" s="4" customFormat="1" ht="24" customHeight="1" x14ac:dyDescent="0.2">
      <c r="A40" s="238" t="s">
        <v>31</v>
      </c>
      <c r="B40" s="239"/>
      <c r="C40" s="239"/>
      <c r="D40" s="239"/>
      <c r="E40" s="239"/>
      <c r="F40" s="239"/>
      <c r="G40" s="239"/>
      <c r="H40" s="239"/>
      <c r="I40" s="239"/>
      <c r="J40" s="239"/>
      <c r="K40" s="239"/>
      <c r="L40" s="239"/>
      <c r="M40" s="240"/>
      <c r="N40" s="19"/>
      <c r="O40" s="19"/>
      <c r="P40" s="98"/>
      <c r="Q40" s="98"/>
    </row>
    <row r="41" spans="1:18" s="4" customFormat="1" ht="24" customHeight="1" x14ac:dyDescent="0.2">
      <c r="A41" s="144" t="s">
        <v>55</v>
      </c>
      <c r="B41" s="145"/>
      <c r="C41" s="145"/>
      <c r="D41" s="145"/>
      <c r="E41" s="145"/>
      <c r="F41" s="145"/>
      <c r="G41" s="145"/>
      <c r="H41" s="145"/>
      <c r="I41" s="145"/>
      <c r="J41" s="145"/>
      <c r="K41" s="145"/>
      <c r="L41" s="145"/>
      <c r="M41" s="146"/>
      <c r="N41" s="19"/>
      <c r="O41" s="19"/>
      <c r="P41" s="98"/>
      <c r="Q41" s="98"/>
    </row>
    <row r="42" spans="1:18" ht="22.5" customHeight="1" x14ac:dyDescent="0.2">
      <c r="B42" s="11"/>
      <c r="C42" s="11"/>
      <c r="D42" s="11"/>
      <c r="E42" s="241" t="s">
        <v>52</v>
      </c>
      <c r="F42" s="242"/>
      <c r="G42" s="140">
        <f>($E$10*G10+$E$20*G20+$E$27*G27+$E$31*G31+$E$37*G37)/$E$38</f>
        <v>2.2347642583263299</v>
      </c>
      <c r="H42" s="140">
        <f>($E$10*H10+$E$20*H20+$E$27*H27+$E$31*H31+$E$37*H37)/$E$38</f>
        <v>2.2347642583263299</v>
      </c>
      <c r="I42" s="140">
        <f>($E$10*I10+$E$20*I20+$E$27*I27+$E$31*I31+$E$37*I37)/$E$38</f>
        <v>4.3359206238537586</v>
      </c>
      <c r="J42" s="140">
        <f>($E$10*J10+$E$20*J20+$E$27*J27+$E$31*J31+$E$37*J37)/$E$38</f>
        <v>2.2560275508476422</v>
      </c>
      <c r="K42" s="140">
        <f>($E$10*K10+$E$20*K20+$E$27*K27+$E$31*K31+$E$37*K37)/$E$38</f>
        <v>4.193647212499509</v>
      </c>
      <c r="L42" s="140">
        <f>($E$10*L10+$E$20*L20+$E$27*L27+$E$37*L37)/$E$38</f>
        <v>2.9105190729343349</v>
      </c>
      <c r="M42" s="140">
        <f>($E$10*M10+$E$20*M20+$E$27*M27+$E$31*M31+$E$37*M37)/$E$38</f>
        <v>3.703738522030827</v>
      </c>
      <c r="N42" s="16"/>
      <c r="O42" s="16"/>
    </row>
    <row r="43" spans="1:18" ht="16.5" customHeight="1" x14ac:dyDescent="0.2">
      <c r="B43" s="10"/>
      <c r="C43" s="10"/>
      <c r="D43" s="10"/>
      <c r="E43" s="20"/>
      <c r="F43" s="77" t="s">
        <v>51</v>
      </c>
      <c r="G43" s="141"/>
      <c r="H43" s="141">
        <v>-5.6450338021018442</v>
      </c>
      <c r="I43" s="141">
        <v>3.1034406366778287</v>
      </c>
      <c r="J43" s="141">
        <v>-1.5032550315750499</v>
      </c>
      <c r="K43" s="141">
        <v>3.5667603520113356</v>
      </c>
      <c r="L43" s="141"/>
      <c r="M43" s="141">
        <v>2.0404919036800528E-2</v>
      </c>
      <c r="N43" s="19"/>
      <c r="O43" s="19"/>
    </row>
    <row r="44" spans="1:18" x14ac:dyDescent="0.2">
      <c r="E44" s="21"/>
      <c r="F44" s="78"/>
      <c r="G44" s="78"/>
      <c r="H44" s="9"/>
      <c r="I44" s="9"/>
      <c r="J44" s="9"/>
      <c r="K44" s="9"/>
      <c r="L44" s="9"/>
      <c r="M44" s="9"/>
      <c r="N44" s="86"/>
      <c r="O44" s="86"/>
    </row>
    <row r="45" spans="1:18" x14ac:dyDescent="0.2">
      <c r="E45" s="22"/>
      <c r="F45" s="78"/>
      <c r="G45" s="78"/>
      <c r="H45" s="6"/>
      <c r="I45" s="6"/>
      <c r="J45" s="6"/>
      <c r="K45" s="6"/>
      <c r="L45" s="6"/>
      <c r="M45" s="6"/>
      <c r="N45" s="86"/>
      <c r="O45" s="86"/>
      <c r="P45" s="99"/>
    </row>
  </sheetData>
  <mergeCells count="19">
    <mergeCell ref="A38:D38"/>
    <mergeCell ref="A39:M39"/>
    <mergeCell ref="A40:M40"/>
    <mergeCell ref="E42:F42"/>
    <mergeCell ref="N3:O3"/>
    <mergeCell ref="P3:Q3"/>
    <mergeCell ref="A4:M4"/>
    <mergeCell ref="A5:M5"/>
    <mergeCell ref="A12:M12"/>
    <mergeCell ref="A34:D34"/>
    <mergeCell ref="H34:M34"/>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Normal="90" workbookViewId="0">
      <pane ySplit="3" topLeftCell="A22" activePane="bottomLeft" state="frozen"/>
      <selection pane="bottomLeft" activeCell="A37" sqref="A37:M37"/>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20" s="3" customFormat="1" ht="27" customHeight="1" x14ac:dyDescent="0.25">
      <c r="A1" s="211" t="s">
        <v>59</v>
      </c>
      <c r="B1" s="211"/>
      <c r="C1" s="211"/>
      <c r="D1" s="211"/>
      <c r="E1" s="211"/>
      <c r="F1" s="211"/>
      <c r="G1" s="211"/>
      <c r="H1" s="211"/>
      <c r="I1" s="211"/>
      <c r="J1" s="211"/>
      <c r="K1" s="211"/>
      <c r="L1" s="211"/>
      <c r="M1" s="211"/>
      <c r="N1" s="14"/>
      <c r="O1" s="14"/>
      <c r="P1" s="87"/>
      <c r="Q1" s="87"/>
    </row>
    <row r="2" spans="1:20"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20" ht="42.75" customHeight="1" x14ac:dyDescent="0.2">
      <c r="A3" s="212"/>
      <c r="B3" s="213"/>
      <c r="C3" s="214"/>
      <c r="D3" s="215"/>
      <c r="E3" s="216"/>
      <c r="F3" s="217"/>
      <c r="G3" s="118" t="s">
        <v>53</v>
      </c>
      <c r="H3" s="154" t="s">
        <v>4</v>
      </c>
      <c r="I3" s="154" t="s">
        <v>5</v>
      </c>
      <c r="J3" s="154" t="s">
        <v>6</v>
      </c>
      <c r="K3" s="154" t="s">
        <v>7</v>
      </c>
      <c r="L3" s="117" t="s">
        <v>54</v>
      </c>
      <c r="M3" s="155" t="s">
        <v>8</v>
      </c>
      <c r="N3" s="221" t="s">
        <v>49</v>
      </c>
      <c r="O3" s="243"/>
      <c r="P3" s="221" t="s">
        <v>50</v>
      </c>
      <c r="Q3" s="222"/>
    </row>
    <row r="4" spans="1:20" ht="26.25" customHeight="1" x14ac:dyDescent="0.2">
      <c r="A4" s="223" t="s">
        <v>47</v>
      </c>
      <c r="B4" s="224"/>
      <c r="C4" s="224"/>
      <c r="D4" s="224"/>
      <c r="E4" s="224"/>
      <c r="F4" s="224"/>
      <c r="G4" s="224"/>
      <c r="H4" s="224"/>
      <c r="I4" s="224"/>
      <c r="J4" s="224"/>
      <c r="K4" s="224"/>
      <c r="L4" s="224"/>
      <c r="M4" s="225"/>
      <c r="N4" s="85"/>
      <c r="O4" s="85"/>
    </row>
    <row r="5" spans="1:20" ht="23.25" customHeight="1" x14ac:dyDescent="0.2">
      <c r="A5" s="226" t="s">
        <v>42</v>
      </c>
      <c r="B5" s="226"/>
      <c r="C5" s="226"/>
      <c r="D5" s="226"/>
      <c r="E5" s="226"/>
      <c r="F5" s="226"/>
      <c r="G5" s="226"/>
      <c r="H5" s="226"/>
      <c r="I5" s="226"/>
      <c r="J5" s="226"/>
      <c r="K5" s="226"/>
      <c r="L5" s="226"/>
      <c r="M5" s="226"/>
      <c r="N5" s="19"/>
      <c r="O5" s="19"/>
    </row>
    <row r="6" spans="1:20" x14ac:dyDescent="0.2">
      <c r="A6" s="69" t="s">
        <v>27</v>
      </c>
      <c r="B6" s="29" t="s">
        <v>10</v>
      </c>
      <c r="C6" s="29" t="s">
        <v>26</v>
      </c>
      <c r="D6" s="30">
        <v>36433</v>
      </c>
      <c r="E6" s="164">
        <v>21.277999999999999</v>
      </c>
      <c r="F6" s="76">
        <v>26962</v>
      </c>
      <c r="G6" s="119">
        <v>0.3467454263210496</v>
      </c>
      <c r="H6" s="160">
        <v>3.2979109276602747</v>
      </c>
      <c r="I6" s="160">
        <v>5.4134755138326662</v>
      </c>
      <c r="J6" s="160">
        <v>3.4146559282355327</v>
      </c>
      <c r="K6" s="160">
        <v>6.3357360826340914</v>
      </c>
      <c r="L6" s="160">
        <v>3.7881158870324949</v>
      </c>
      <c r="M6" s="160">
        <v>5.7686110015446879</v>
      </c>
      <c r="N6" s="89">
        <v>5.7776279351375415</v>
      </c>
      <c r="O6" s="89"/>
    </row>
    <row r="7" spans="1:20" s="2" customFormat="1" ht="12.75" customHeight="1" x14ac:dyDescent="0.2">
      <c r="A7" s="70" t="s">
        <v>34</v>
      </c>
      <c r="B7" s="29" t="s">
        <v>10</v>
      </c>
      <c r="C7" s="29" t="s">
        <v>21</v>
      </c>
      <c r="D7" s="32">
        <v>40834</v>
      </c>
      <c r="E7" s="165">
        <v>2.7839999999999998</v>
      </c>
      <c r="F7" s="33">
        <v>2671</v>
      </c>
      <c r="G7" s="120">
        <v>0.38</v>
      </c>
      <c r="H7" s="120">
        <v>0.39</v>
      </c>
      <c r="I7" s="120">
        <v>3.77</v>
      </c>
      <c r="J7" s="120"/>
      <c r="K7" s="120"/>
      <c r="L7" s="120"/>
      <c r="M7" s="122">
        <v>3.97</v>
      </c>
      <c r="N7" s="90">
        <v>1.42</v>
      </c>
      <c r="O7" s="90"/>
      <c r="P7" s="91"/>
      <c r="Q7" s="91"/>
      <c r="S7" s="180"/>
    </row>
    <row r="8" spans="1:20" s="2" customFormat="1" ht="12.75" customHeight="1" x14ac:dyDescent="0.2">
      <c r="A8" s="70" t="s">
        <v>38</v>
      </c>
      <c r="B8" s="12" t="s">
        <v>10</v>
      </c>
      <c r="C8" s="12" t="s">
        <v>21</v>
      </c>
      <c r="D8" s="30">
        <v>36738</v>
      </c>
      <c r="E8" s="166">
        <v>59.731439999999999</v>
      </c>
      <c r="F8" s="31">
        <v>40457</v>
      </c>
      <c r="G8" s="168">
        <v>-0.54</v>
      </c>
      <c r="H8" s="161">
        <v>0.16</v>
      </c>
      <c r="I8" s="161">
        <v>3.36</v>
      </c>
      <c r="J8" s="161">
        <v>2.16</v>
      </c>
      <c r="K8" s="161">
        <v>4.46</v>
      </c>
      <c r="L8" s="161">
        <v>4.33</v>
      </c>
      <c r="M8" s="161">
        <v>4.8499999999999996</v>
      </c>
      <c r="N8" s="92">
        <v>0.24</v>
      </c>
      <c r="O8" s="92"/>
      <c r="P8" s="91"/>
      <c r="Q8" s="91"/>
    </row>
    <row r="9" spans="1:20" ht="12.75" customHeight="1" x14ac:dyDescent="0.2">
      <c r="A9" s="71" t="s">
        <v>13</v>
      </c>
      <c r="B9" s="34" t="s">
        <v>10</v>
      </c>
      <c r="C9" s="34" t="s">
        <v>21</v>
      </c>
      <c r="D9" s="35">
        <v>37816</v>
      </c>
      <c r="E9" s="167">
        <v>14.562608064365699</v>
      </c>
      <c r="F9" s="162">
        <v>20996</v>
      </c>
      <c r="G9" s="121">
        <v>0.13883937439060912</v>
      </c>
      <c r="H9" s="122">
        <v>2.1420212210802481</v>
      </c>
      <c r="I9" s="122">
        <v>4.7836389472726726</v>
      </c>
      <c r="J9" s="122">
        <v>3.5495435113740204</v>
      </c>
      <c r="K9" s="122">
        <v>6.5183341996457589</v>
      </c>
      <c r="L9" s="122">
        <v>2.701463626677536</v>
      </c>
      <c r="M9" s="122">
        <v>2.7641626713499345</v>
      </c>
      <c r="N9" s="90">
        <v>3.2479414272766682</v>
      </c>
      <c r="O9" s="90"/>
    </row>
    <row r="10" spans="1:20" s="24" customFormat="1" ht="23.25" customHeight="1" x14ac:dyDescent="0.2">
      <c r="A10" s="51" t="s">
        <v>44</v>
      </c>
      <c r="B10" s="52" t="s">
        <v>10</v>
      </c>
      <c r="C10" s="52"/>
      <c r="D10" s="53"/>
      <c r="E10" s="75">
        <f>SUM(E6:E9)</f>
        <v>98.356048064365709</v>
      </c>
      <c r="F10" s="54">
        <f>SUM(F6:F9)</f>
        <v>91086</v>
      </c>
      <c r="G10" s="123">
        <f t="shared" ref="G10:M10" si="0">($E$6*G6+$E$7*G7+$E$8*G8+$E$9*G9+$E$35*G35)/($E$10+$E$35)</f>
        <v>-0.10581904028487811</v>
      </c>
      <c r="H10" s="123">
        <f t="shared" si="0"/>
        <v>1.6613051738367746</v>
      </c>
      <c r="I10" s="123">
        <f t="shared" si="0"/>
        <v>4.3014779087141237</v>
      </c>
      <c r="J10" s="123">
        <f>($E$6*J6+$E$8*J8+$E$9*J9+$E$35*J35)/($E$10-$E$7+$E$35)</f>
        <v>2.9403561698398608</v>
      </c>
      <c r="K10" s="123">
        <f>($E$6*K6+$E$8*K8+$E$9*K9+$E$35*K35)/($E$10-$E$7+$E$35)</f>
        <v>5.3484641230269094</v>
      </c>
      <c r="L10" s="123">
        <f>($E$6*L6+$E$8*L8+$E$9*L9+$E$35*L35)/($E$10-$E$7+$E$35)</f>
        <v>4.294451815872053</v>
      </c>
      <c r="M10" s="123">
        <f t="shared" si="0"/>
        <v>5.6385088064996083</v>
      </c>
      <c r="N10" s="102" t="e">
        <f>E10-#REF!</f>
        <v>#REF!</v>
      </c>
      <c r="O10" s="103" t="e">
        <f>N10/#REF!</f>
        <v>#REF!</v>
      </c>
      <c r="P10" s="104" t="e">
        <f>F10-#REF!</f>
        <v>#REF!</v>
      </c>
      <c r="Q10" s="105" t="e">
        <f>P10/#REF!</f>
        <v>#REF!</v>
      </c>
      <c r="S10" s="178"/>
      <c r="T10" s="178"/>
    </row>
    <row r="11" spans="1:20" s="28" customFormat="1" ht="12" customHeight="1" x14ac:dyDescent="0.2">
      <c r="A11" s="66"/>
      <c r="B11" s="47"/>
      <c r="C11" s="47"/>
      <c r="D11" s="48"/>
      <c r="E11" s="49"/>
      <c r="F11" s="50"/>
      <c r="N11" s="93"/>
      <c r="O11" s="93"/>
      <c r="P11" s="94"/>
      <c r="Q11" s="94"/>
    </row>
    <row r="12" spans="1:20" ht="21" customHeight="1" x14ac:dyDescent="0.2">
      <c r="A12" s="227" t="s">
        <v>43</v>
      </c>
      <c r="B12" s="227"/>
      <c r="C12" s="227"/>
      <c r="D12" s="227"/>
      <c r="E12" s="227"/>
      <c r="F12" s="227"/>
      <c r="G12" s="227"/>
      <c r="H12" s="227"/>
      <c r="I12" s="227"/>
      <c r="J12" s="227"/>
      <c r="K12" s="227"/>
      <c r="L12" s="227"/>
      <c r="M12" s="227"/>
      <c r="N12" s="19"/>
      <c r="O12" s="19"/>
      <c r="P12" s="96"/>
      <c r="Q12" s="96"/>
    </row>
    <row r="13" spans="1:20" x14ac:dyDescent="0.2">
      <c r="A13" s="72" t="s">
        <v>28</v>
      </c>
      <c r="B13" s="29" t="s">
        <v>10</v>
      </c>
      <c r="C13" s="29" t="s">
        <v>19</v>
      </c>
      <c r="D13" s="30">
        <v>36606</v>
      </c>
      <c r="E13" s="164">
        <v>7.0789999999999997</v>
      </c>
      <c r="F13" s="76">
        <v>20598</v>
      </c>
      <c r="G13" s="119">
        <v>-3.3832375464888302E-3</v>
      </c>
      <c r="H13" s="160">
        <v>3.9722992197563478</v>
      </c>
      <c r="I13" s="160">
        <v>6.9714749502027828</v>
      </c>
      <c r="J13" s="160">
        <v>4.2193023820405573</v>
      </c>
      <c r="K13" s="160">
        <v>5.7411743395579862</v>
      </c>
      <c r="L13" s="160">
        <v>3.5821487819501563</v>
      </c>
      <c r="M13" s="160">
        <v>5.5426749471128467</v>
      </c>
      <c r="N13" s="95">
        <v>5.5762984059753329</v>
      </c>
      <c r="O13" s="95"/>
      <c r="P13" s="96"/>
      <c r="Q13" s="96"/>
    </row>
    <row r="14" spans="1:20" ht="12.75" customHeight="1" x14ac:dyDescent="0.2">
      <c r="A14" s="72" t="s">
        <v>48</v>
      </c>
      <c r="B14" s="29" t="s">
        <v>10</v>
      </c>
      <c r="C14" s="29" t="s">
        <v>19</v>
      </c>
      <c r="D14" s="30">
        <v>39367</v>
      </c>
      <c r="E14" s="166">
        <v>4.6749999999999998</v>
      </c>
      <c r="F14" s="31">
        <v>4037</v>
      </c>
      <c r="G14" s="121">
        <v>-0.19618164150282846</v>
      </c>
      <c r="H14" s="122">
        <v>2.6459353914572548</v>
      </c>
      <c r="I14" s="122">
        <v>4.8593440329387283</v>
      </c>
      <c r="J14" s="122">
        <v>2.7784383444256378</v>
      </c>
      <c r="K14" s="122">
        <v>4.5726906293275915</v>
      </c>
      <c r="L14" s="122"/>
      <c r="M14" s="160">
        <v>3.0708218476854565</v>
      </c>
      <c r="N14" s="95">
        <v>3.1451633190635597</v>
      </c>
      <c r="O14" s="95"/>
      <c r="P14" s="96"/>
      <c r="Q14" s="96"/>
    </row>
    <row r="15" spans="1:20" x14ac:dyDescent="0.2">
      <c r="A15" s="73" t="s">
        <v>30</v>
      </c>
      <c r="B15" s="29" t="s">
        <v>10</v>
      </c>
      <c r="C15" s="29" t="s">
        <v>20</v>
      </c>
      <c r="D15" s="30">
        <v>36091</v>
      </c>
      <c r="E15" s="165">
        <v>0.47471525671771947</v>
      </c>
      <c r="F15" s="33">
        <v>535</v>
      </c>
      <c r="G15" s="120">
        <v>0.1769081263729877</v>
      </c>
      <c r="H15" s="120">
        <v>3.2595541687153728</v>
      </c>
      <c r="I15" s="120">
        <v>5.4086067314475184</v>
      </c>
      <c r="J15" s="120">
        <v>3.7539150245795572</v>
      </c>
      <c r="K15" s="120">
        <v>5.3054160954019158</v>
      </c>
      <c r="L15" s="120"/>
      <c r="M15" s="120">
        <v>4.808067711841657</v>
      </c>
      <c r="N15" s="106">
        <v>4.5151790678644055</v>
      </c>
      <c r="O15" s="106"/>
      <c r="P15" s="96"/>
      <c r="Q15" s="96"/>
    </row>
    <row r="16" spans="1:20" ht="13.5" customHeight="1" x14ac:dyDescent="0.2">
      <c r="A16" s="73" t="s">
        <v>17</v>
      </c>
      <c r="B16" s="29" t="s">
        <v>10</v>
      </c>
      <c r="C16" s="29" t="s">
        <v>24</v>
      </c>
      <c r="D16" s="30">
        <v>4.1063829196259997E-2</v>
      </c>
      <c r="E16" s="165">
        <v>6.1277020000000182E-2</v>
      </c>
      <c r="F16" s="33">
        <v>110</v>
      </c>
      <c r="G16" s="120">
        <v>-0.64109778549062968</v>
      </c>
      <c r="H16" s="120">
        <v>0.86872698116489122</v>
      </c>
      <c r="I16" s="120">
        <v>4.6735507331475468</v>
      </c>
      <c r="J16" s="120">
        <v>2.7574075515869101</v>
      </c>
      <c r="K16" s="120">
        <v>3.1827110368642719</v>
      </c>
      <c r="L16" s="120"/>
      <c r="M16" s="120">
        <v>3.9722598230411688</v>
      </c>
      <c r="N16" s="106">
        <v>2.402751206296605</v>
      </c>
      <c r="O16" s="106"/>
      <c r="P16" s="96"/>
      <c r="Q16" s="96"/>
    </row>
    <row r="17" spans="1:19" ht="12.75" customHeight="1" x14ac:dyDescent="0.2">
      <c r="A17" s="72" t="s">
        <v>35</v>
      </c>
      <c r="B17" s="29" t="s">
        <v>10</v>
      </c>
      <c r="C17" s="29" t="s">
        <v>19</v>
      </c>
      <c r="D17" s="30">
        <v>39514</v>
      </c>
      <c r="E17" s="165">
        <v>0.64115274789491827</v>
      </c>
      <c r="F17" s="33">
        <v>1694</v>
      </c>
      <c r="G17" s="120">
        <v>-0.36219161221605622</v>
      </c>
      <c r="H17" s="120">
        <v>2.2535570500067825</v>
      </c>
      <c r="I17" s="120">
        <v>4.3383223914003288</v>
      </c>
      <c r="J17" s="120">
        <v>3.0093107903270244</v>
      </c>
      <c r="K17" s="120">
        <v>4.8217606200366747</v>
      </c>
      <c r="L17" s="120"/>
      <c r="M17" s="120">
        <v>5.0649207816370501</v>
      </c>
      <c r="N17" s="106">
        <v>3.8079874040534589</v>
      </c>
      <c r="O17" s="106"/>
      <c r="P17" s="96"/>
      <c r="Q17" s="96"/>
    </row>
    <row r="18" spans="1:19" x14ac:dyDescent="0.2">
      <c r="A18" s="70" t="s">
        <v>57</v>
      </c>
      <c r="B18" s="148" t="s">
        <v>10</v>
      </c>
      <c r="C18" s="148" t="s">
        <v>20</v>
      </c>
      <c r="D18" s="36">
        <v>38360</v>
      </c>
      <c r="E18" s="165">
        <v>0.318</v>
      </c>
      <c r="F18" s="33">
        <v>1777</v>
      </c>
      <c r="G18" s="120">
        <v>-0.12</v>
      </c>
      <c r="H18" s="120">
        <v>0.64</v>
      </c>
      <c r="I18" s="120">
        <v>1.4200000000000002</v>
      </c>
      <c r="J18" s="120">
        <v>1.34</v>
      </c>
      <c r="K18" s="120">
        <v>2.77</v>
      </c>
      <c r="L18" s="120"/>
      <c r="M18" s="120">
        <v>2.1</v>
      </c>
      <c r="N18" s="106">
        <v>2.15</v>
      </c>
      <c r="O18" s="106"/>
      <c r="P18" s="96"/>
      <c r="Q18" s="96"/>
    </row>
    <row r="19" spans="1:19" x14ac:dyDescent="0.2">
      <c r="A19" s="70" t="s">
        <v>56</v>
      </c>
      <c r="B19" s="12" t="s">
        <v>10</v>
      </c>
      <c r="C19" s="12" t="s">
        <v>19</v>
      </c>
      <c r="D19" s="36">
        <v>39182</v>
      </c>
      <c r="E19" s="165">
        <v>0.129</v>
      </c>
      <c r="F19" s="33">
        <v>258</v>
      </c>
      <c r="G19" s="120">
        <v>-0.15</v>
      </c>
      <c r="H19" s="120">
        <v>1.4200000000000002</v>
      </c>
      <c r="I19" s="120">
        <v>1.54</v>
      </c>
      <c r="J19" s="120">
        <v>0.70000000000000007</v>
      </c>
      <c r="K19" s="120">
        <v>0.28999999999999998</v>
      </c>
      <c r="L19" s="120"/>
      <c r="M19" s="120">
        <v>0.44</v>
      </c>
      <c r="N19" s="106">
        <v>3.37</v>
      </c>
      <c r="O19" s="106"/>
      <c r="P19" s="96"/>
      <c r="Q19" s="96"/>
    </row>
    <row r="20" spans="1:19" ht="12.75" customHeight="1" x14ac:dyDescent="0.2">
      <c r="A20" s="70" t="s">
        <v>14</v>
      </c>
      <c r="B20" s="12" t="s">
        <v>10</v>
      </c>
      <c r="C20" s="12" t="s">
        <v>22</v>
      </c>
      <c r="D20" s="32">
        <v>40834</v>
      </c>
      <c r="E20" s="165">
        <v>1.7589999999999999</v>
      </c>
      <c r="F20" s="33">
        <v>2076</v>
      </c>
      <c r="G20" s="120">
        <v>-0.91</v>
      </c>
      <c r="H20" s="120">
        <v>3.48</v>
      </c>
      <c r="I20" s="120">
        <v>4.5</v>
      </c>
      <c r="J20" s="120"/>
      <c r="K20" s="120"/>
      <c r="L20" s="120"/>
      <c r="M20" s="122">
        <v>4.4400000000000004</v>
      </c>
      <c r="N20" s="107">
        <v>4.45</v>
      </c>
      <c r="O20" s="107"/>
      <c r="P20" s="96"/>
      <c r="Q20" s="96"/>
    </row>
    <row r="21" spans="1:19" x14ac:dyDescent="0.2">
      <c r="A21" s="73" t="s">
        <v>39</v>
      </c>
      <c r="B21" s="12" t="s">
        <v>10</v>
      </c>
      <c r="C21" s="12" t="s">
        <v>19</v>
      </c>
      <c r="D21" s="32">
        <v>38245</v>
      </c>
      <c r="E21" s="166">
        <v>13.320695000000001</v>
      </c>
      <c r="F21" s="31">
        <v>27614</v>
      </c>
      <c r="G21" s="168">
        <v>-0.85</v>
      </c>
      <c r="H21" s="161">
        <v>1.71</v>
      </c>
      <c r="I21" s="161">
        <v>4.45</v>
      </c>
      <c r="J21" s="161">
        <v>2.2999999999999998</v>
      </c>
      <c r="K21" s="161">
        <v>4.53</v>
      </c>
      <c r="L21" s="161"/>
      <c r="M21" s="161">
        <v>5.01</v>
      </c>
      <c r="N21" s="93">
        <v>1.83</v>
      </c>
      <c r="O21" s="93"/>
      <c r="P21" s="96"/>
      <c r="Q21" s="96"/>
    </row>
    <row r="22" spans="1:19" ht="12.75" customHeight="1" x14ac:dyDescent="0.2">
      <c r="A22" s="73" t="s">
        <v>40</v>
      </c>
      <c r="B22" s="12" t="s">
        <v>10</v>
      </c>
      <c r="C22" s="12" t="s">
        <v>19</v>
      </c>
      <c r="D22" s="30">
        <v>37606</v>
      </c>
      <c r="E22" s="166">
        <v>16.765153000000002</v>
      </c>
      <c r="F22" s="31">
        <v>9682</v>
      </c>
      <c r="G22" s="168">
        <v>-0.97</v>
      </c>
      <c r="H22" s="161">
        <v>1.1200000000000001</v>
      </c>
      <c r="I22" s="161">
        <v>4.1500000000000004</v>
      </c>
      <c r="J22" s="161">
        <v>2.06</v>
      </c>
      <c r="K22" s="161">
        <v>3.42</v>
      </c>
      <c r="L22" s="177">
        <v>3.31</v>
      </c>
      <c r="M22" s="161">
        <v>3.4</v>
      </c>
      <c r="N22" s="93">
        <v>1.23</v>
      </c>
      <c r="O22" s="93"/>
      <c r="P22" s="96"/>
      <c r="Q22" s="96"/>
    </row>
    <row r="23" spans="1:19" ht="12.75" customHeight="1" x14ac:dyDescent="0.2">
      <c r="A23" s="72" t="s">
        <v>15</v>
      </c>
      <c r="B23" s="29" t="s">
        <v>10</v>
      </c>
      <c r="C23" s="29" t="s">
        <v>23</v>
      </c>
      <c r="D23" s="30">
        <v>37834</v>
      </c>
      <c r="E23" s="166">
        <v>27.073470781487497</v>
      </c>
      <c r="F23" s="31">
        <v>34743</v>
      </c>
      <c r="G23" s="170">
        <v>-1.0957033481937661</v>
      </c>
      <c r="H23" s="122">
        <v>4.3541388604122044</v>
      </c>
      <c r="I23" s="122">
        <v>5.9354214307970388</v>
      </c>
      <c r="J23" s="122">
        <v>3.4386709198568122</v>
      </c>
      <c r="K23" s="122">
        <v>7.9743806156538977</v>
      </c>
      <c r="L23" s="122">
        <v>3.3888826916514958</v>
      </c>
      <c r="M23" s="122">
        <v>3.4106842953069982</v>
      </c>
      <c r="N23" s="107">
        <v>5.8179845772138528</v>
      </c>
      <c r="O23" s="107"/>
      <c r="P23" s="96"/>
      <c r="Q23" s="96"/>
    </row>
    <row r="24" spans="1:19" ht="12.75" customHeight="1" x14ac:dyDescent="0.2">
      <c r="A24" s="73" t="s">
        <v>36</v>
      </c>
      <c r="B24" s="29" t="s">
        <v>10</v>
      </c>
      <c r="C24" s="29" t="s">
        <v>32</v>
      </c>
      <c r="D24" s="30">
        <v>39078</v>
      </c>
      <c r="E24" s="166">
        <v>7.6320518136686601</v>
      </c>
      <c r="F24" s="163">
        <v>13720</v>
      </c>
      <c r="G24" s="169">
        <v>-2.7830686558854456</v>
      </c>
      <c r="H24" s="13">
        <v>6.6701883880245338</v>
      </c>
      <c r="I24" s="13">
        <v>7.4913515600955716</v>
      </c>
      <c r="J24" s="13">
        <v>2.0494895990708084</v>
      </c>
      <c r="K24" s="13">
        <v>10.525234750968448</v>
      </c>
      <c r="L24" s="120"/>
      <c r="M24" s="13">
        <v>-2.293648189818509</v>
      </c>
      <c r="N24" s="149">
        <v>8.4910507605028496</v>
      </c>
      <c r="O24" s="107"/>
      <c r="P24" s="96"/>
      <c r="Q24" s="96"/>
    </row>
    <row r="25" spans="1:19" ht="12.75" customHeight="1" x14ac:dyDescent="0.2">
      <c r="A25" s="40" t="s">
        <v>43</v>
      </c>
      <c r="B25" s="41" t="s">
        <v>10</v>
      </c>
      <c r="C25" s="41"/>
      <c r="D25" s="42"/>
      <c r="E25" s="80">
        <f>SUM(E13:E24)</f>
        <v>79.928515619768802</v>
      </c>
      <c r="F25" s="43">
        <f>SUM(F13:F24)</f>
        <v>116844</v>
      </c>
      <c r="G25" s="124">
        <f t="shared" ref="G25:M25" si="1">($E$13*G13+$E$14*G14+$E$15*G15+$E$16*G16+$E$17*G17+$E$18*G18+$E$19*G19+$E$20*G20+$E$21*G21+$E$22*G22+$E$23*G23+$E$24*G24)/$E$25</f>
        <v>-1.0168664853869203</v>
      </c>
      <c r="H25" s="124">
        <f t="shared" si="1"/>
        <v>3.257753179983935</v>
      </c>
      <c r="I25" s="124">
        <f t="shared" si="1"/>
        <v>5.4172030786492993</v>
      </c>
      <c r="J25" s="124">
        <f>($E$13*J13+$E$14*J14+$E$15*J15+$E$16*J16+$E$17*J17+$E$18*J18+$E$19*J19+$E$21*J21+$E$22*J22+$E$23*J23+$E$24*J24)/($E$25-$E$20)</f>
        <v>2.8293238684091926</v>
      </c>
      <c r="K25" s="124">
        <f>($E$13*K13+$E$14*K14+$E$15*K15+$E$16*K16+$E$17*K17+$E$18*K18+$E$19*K19+$E$21*K21+$E$22*K22+$E$23*K23+$E$24*K24)/($E$25-$E$20)</f>
        <v>6.1743418937263135</v>
      </c>
      <c r="L25" s="124">
        <f>($E$13*L13+$E$22*L22+$E$23*L23)/($E$13+$E$22+$E$23)</f>
        <v>3.3897792428894515</v>
      </c>
      <c r="M25" s="124">
        <f t="shared" si="1"/>
        <v>3.3338851244632144</v>
      </c>
      <c r="N25" s="108" t="e">
        <f>E25-#REF!</f>
        <v>#REF!</v>
      </c>
      <c r="O25" s="103" t="e">
        <f>N25/#REF!</f>
        <v>#REF!</v>
      </c>
      <c r="P25" s="104" t="e">
        <f>F25-#REF!</f>
        <v>#REF!</v>
      </c>
      <c r="Q25" s="105" t="e">
        <f>P25/#REF!</f>
        <v>#REF!</v>
      </c>
      <c r="S25" s="181"/>
    </row>
    <row r="26" spans="1:19" s="17" customFormat="1" ht="12.75" customHeight="1" x14ac:dyDescent="0.2">
      <c r="A26" s="67"/>
      <c r="B26" s="18"/>
      <c r="C26" s="18"/>
      <c r="D26" s="55"/>
      <c r="E26" s="83"/>
      <c r="F26" s="38"/>
      <c r="G26" s="129"/>
      <c r="H26" s="130"/>
      <c r="I26" s="130"/>
      <c r="J26" s="130"/>
      <c r="K26" s="130"/>
      <c r="L26" s="130"/>
      <c r="M26" s="131"/>
      <c r="N26" s="106"/>
      <c r="O26" s="106"/>
      <c r="P26" s="94"/>
      <c r="Q26" s="94"/>
    </row>
    <row r="27" spans="1:19" ht="12.75" customHeight="1" x14ac:dyDescent="0.2">
      <c r="A27" s="72" t="s">
        <v>29</v>
      </c>
      <c r="B27" s="29" t="s">
        <v>11</v>
      </c>
      <c r="C27" s="29" t="s">
        <v>19</v>
      </c>
      <c r="D27" s="30">
        <v>38808</v>
      </c>
      <c r="E27" s="164">
        <v>0.83899999999999997</v>
      </c>
      <c r="F27" s="76">
        <v>708</v>
      </c>
      <c r="G27" s="119">
        <v>-0.89451603536065316</v>
      </c>
      <c r="H27" s="122">
        <v>-1.5246813365353162</v>
      </c>
      <c r="I27" s="122">
        <v>4.3117274390245486</v>
      </c>
      <c r="J27" s="122">
        <v>2.6250396252115893</v>
      </c>
      <c r="K27" s="122">
        <v>4.4362437895144824</v>
      </c>
      <c r="L27" s="122"/>
      <c r="M27" s="160">
        <v>4.7187451700200445</v>
      </c>
      <c r="N27" s="95">
        <v>4.8924052098107129</v>
      </c>
      <c r="O27" s="95"/>
      <c r="P27" s="96"/>
      <c r="Q27" s="96"/>
    </row>
    <row r="28" spans="1:19" ht="12.75" customHeight="1" x14ac:dyDescent="0.2">
      <c r="A28" s="72" t="s">
        <v>16</v>
      </c>
      <c r="B28" s="29" t="s">
        <v>11</v>
      </c>
      <c r="C28" s="29" t="s">
        <v>23</v>
      </c>
      <c r="D28" s="30">
        <v>37816</v>
      </c>
      <c r="E28" s="166">
        <v>1.473030784339</v>
      </c>
      <c r="F28" s="31">
        <v>1259</v>
      </c>
      <c r="G28" s="121">
        <v>-1.3738313646187716</v>
      </c>
      <c r="H28" s="122">
        <v>0.81086464664958946</v>
      </c>
      <c r="I28" s="122">
        <v>2.4007587465327385</v>
      </c>
      <c r="J28" s="122">
        <v>1.5598868186406767</v>
      </c>
      <c r="K28" s="122">
        <v>5.0334174955242839</v>
      </c>
      <c r="L28" s="122">
        <v>1.9452607156968282</v>
      </c>
      <c r="M28" s="122">
        <v>1.9137160352635352</v>
      </c>
      <c r="N28" s="107">
        <v>1.850854406249991</v>
      </c>
      <c r="O28" s="107"/>
      <c r="P28" s="96"/>
      <c r="Q28" s="96"/>
    </row>
    <row r="29" spans="1:19" ht="12.75" customHeight="1" x14ac:dyDescent="0.2">
      <c r="A29" s="40" t="s">
        <v>43</v>
      </c>
      <c r="B29" s="41" t="s">
        <v>11</v>
      </c>
      <c r="C29" s="45"/>
      <c r="D29" s="46"/>
      <c r="E29" s="82">
        <f>SUM(E27:E28)</f>
        <v>2.312030784339</v>
      </c>
      <c r="F29" s="44">
        <f>SUM(F27:F28)</f>
        <v>1967</v>
      </c>
      <c r="G29" s="124">
        <f>($E$27*G27+$E$28*G28)/$E$29</f>
        <v>-1.1998952890389938</v>
      </c>
      <c r="H29" s="124">
        <f>($E$27*H27+$E$28*H28)/$E$29</f>
        <v>-3.6668653151327987E-2</v>
      </c>
      <c r="I29" s="124">
        <f>($E$27*I27+$E$28*I28)/$E$29</f>
        <v>3.0942195533095851</v>
      </c>
      <c r="J29" s="124">
        <f>($E$27*J27+$E$28*J28)/$E$29</f>
        <v>1.9464142000087801</v>
      </c>
      <c r="K29" s="124">
        <f>($E$27*K27+$E$28*K28)/$E$29</f>
        <v>4.816712448716066</v>
      </c>
      <c r="L29" s="124">
        <f>L28</f>
        <v>1.9452607156968282</v>
      </c>
      <c r="M29" s="124">
        <f>($E$27*M27+$E$28*M28)/$E$29</f>
        <v>2.9316174663353292</v>
      </c>
      <c r="N29" s="108" t="e">
        <f>E29-#REF!</f>
        <v>#REF!</v>
      </c>
      <c r="O29" s="108" t="e">
        <f>N29/#REF!</f>
        <v>#REF!</v>
      </c>
      <c r="P29" s="104" t="e">
        <f>F29-#REF!</f>
        <v>#REF!</v>
      </c>
      <c r="Q29" s="105" t="e">
        <f>P29/#REF!</f>
        <v>#REF!</v>
      </c>
    </row>
    <row r="30" spans="1:19" s="17" customFormat="1" ht="12.75" customHeight="1" x14ac:dyDescent="0.2">
      <c r="A30" s="67"/>
      <c r="B30" s="18"/>
      <c r="C30" s="18"/>
      <c r="D30" s="55"/>
      <c r="E30" s="83"/>
      <c r="F30" s="38"/>
      <c r="G30" s="129"/>
      <c r="H30" s="126"/>
      <c r="I30" s="126"/>
      <c r="J30" s="126"/>
      <c r="K30" s="126"/>
      <c r="L30" s="126"/>
      <c r="M30" s="127"/>
      <c r="N30" s="107"/>
      <c r="O30" s="107"/>
      <c r="P30" s="94"/>
      <c r="Q30" s="94"/>
    </row>
    <row r="31" spans="1:19" s="24" customFormat="1" ht="21" customHeight="1" x14ac:dyDescent="0.2">
      <c r="A31" s="61" t="s">
        <v>45</v>
      </c>
      <c r="B31" s="62"/>
      <c r="C31" s="62"/>
      <c r="D31" s="62"/>
      <c r="E31" s="82">
        <f>E29+E25</f>
        <v>82.240546404107803</v>
      </c>
      <c r="F31" s="44">
        <f>F29+F25</f>
        <v>118811</v>
      </c>
      <c r="G31" s="132">
        <f t="shared" ref="G31:M31" si="2">($E$25*G25+$E$29*G29)/$E$31</f>
        <v>-1.0220119792700104</v>
      </c>
      <c r="H31" s="132">
        <f t="shared" si="2"/>
        <v>3.1651370067233593</v>
      </c>
      <c r="I31" s="132">
        <f t="shared" si="2"/>
        <v>5.3518969777424905</v>
      </c>
      <c r="J31" s="132">
        <f t="shared" si="2"/>
        <v>2.8045026041741301</v>
      </c>
      <c r="K31" s="132">
        <f t="shared" si="2"/>
        <v>6.1361748191161185</v>
      </c>
      <c r="L31" s="132">
        <f t="shared" si="2"/>
        <v>3.3491694530783938</v>
      </c>
      <c r="M31" s="132">
        <f t="shared" si="2"/>
        <v>3.3225761625241046</v>
      </c>
      <c r="N31" s="95"/>
      <c r="O31" s="95"/>
      <c r="P31" s="96"/>
      <c r="Q31" s="96"/>
      <c r="R31" s="25"/>
    </row>
    <row r="32" spans="1:19" s="24" customFormat="1" ht="26.25" customHeight="1" x14ac:dyDescent="0.2">
      <c r="A32" s="228" t="s">
        <v>46</v>
      </c>
      <c r="B32" s="228"/>
      <c r="C32" s="228"/>
      <c r="D32" s="228"/>
      <c r="E32" s="84">
        <f>SUM(E10,E31)</f>
        <v>180.59659446847351</v>
      </c>
      <c r="F32" s="63">
        <f>SUM(F10, F31)</f>
        <v>209897</v>
      </c>
      <c r="G32" s="159"/>
      <c r="H32" s="229"/>
      <c r="I32" s="230"/>
      <c r="J32" s="230"/>
      <c r="K32" s="230"/>
      <c r="L32" s="230"/>
      <c r="M32" s="231"/>
      <c r="N32" s="97"/>
      <c r="O32" s="97"/>
      <c r="P32" s="96"/>
      <c r="Q32" s="96"/>
      <c r="R32" s="25"/>
    </row>
    <row r="33" spans="1:18" s="28" customFormat="1" ht="10.5" customHeight="1" x14ac:dyDescent="0.2">
      <c r="A33" s="68"/>
      <c r="B33" s="56"/>
      <c r="C33" s="56"/>
      <c r="D33" s="56"/>
      <c r="E33" s="57"/>
      <c r="F33" s="38"/>
      <c r="G33" s="129"/>
      <c r="H33" s="129"/>
      <c r="I33" s="129"/>
      <c r="J33" s="129"/>
      <c r="K33" s="129"/>
      <c r="L33" s="129"/>
      <c r="M33" s="133"/>
      <c r="N33" s="97"/>
      <c r="O33" s="97"/>
      <c r="P33" s="94"/>
      <c r="Q33" s="94"/>
      <c r="R33" s="39"/>
    </row>
    <row r="34" spans="1:18" ht="22.5" customHeight="1" x14ac:dyDescent="0.2">
      <c r="A34" s="64" t="s">
        <v>25</v>
      </c>
      <c r="B34" s="58"/>
      <c r="C34" s="58"/>
      <c r="D34" s="58"/>
      <c r="E34" s="59"/>
      <c r="F34" s="60"/>
      <c r="G34" s="134"/>
      <c r="H34" s="135"/>
      <c r="I34" s="135"/>
      <c r="J34" s="135"/>
      <c r="K34" s="135"/>
      <c r="L34" s="135"/>
      <c r="M34" s="135"/>
      <c r="N34" s="111"/>
      <c r="O34" s="111"/>
      <c r="P34" s="96"/>
      <c r="Q34" s="96"/>
      <c r="R34" s="2"/>
    </row>
    <row r="35" spans="1:18" ht="39" customHeight="1" thickBot="1" x14ac:dyDescent="0.25">
      <c r="A35" s="74" t="s">
        <v>41</v>
      </c>
      <c r="B35" s="29" t="s">
        <v>10</v>
      </c>
      <c r="C35" s="29" t="s">
        <v>20</v>
      </c>
      <c r="D35" s="65">
        <v>36495</v>
      </c>
      <c r="E35" s="26">
        <v>55.335999999999999</v>
      </c>
      <c r="F35" s="27">
        <v>12086</v>
      </c>
      <c r="G35" s="136">
        <v>0.1</v>
      </c>
      <c r="H35" s="136">
        <v>2.59</v>
      </c>
      <c r="I35" s="136">
        <v>4.79</v>
      </c>
      <c r="J35" s="136">
        <v>3.44</v>
      </c>
      <c r="K35" s="136">
        <v>5.62</v>
      </c>
      <c r="L35" s="136">
        <v>4.87</v>
      </c>
      <c r="M35" s="137">
        <v>7.28</v>
      </c>
      <c r="N35" s="106">
        <v>3.2</v>
      </c>
      <c r="O35" s="106"/>
      <c r="P35" s="96"/>
      <c r="Q35" s="96"/>
    </row>
    <row r="36" spans="1:18" ht="31.5" customHeight="1" x14ac:dyDescent="0.2">
      <c r="A36" s="232" t="s">
        <v>33</v>
      </c>
      <c r="B36" s="233"/>
      <c r="C36" s="233"/>
      <c r="D36" s="234"/>
      <c r="E36" s="115">
        <f>E32+E35</f>
        <v>235.9325944684735</v>
      </c>
      <c r="F36" s="116">
        <f>F32+F35</f>
        <v>221983</v>
      </c>
      <c r="G36" s="138"/>
      <c r="H36" s="139"/>
      <c r="I36" s="139"/>
      <c r="J36" s="139"/>
      <c r="K36" s="139"/>
      <c r="L36" s="139"/>
      <c r="M36" s="139"/>
      <c r="N36" s="113" t="e">
        <f>E36-#REF!</f>
        <v>#REF!</v>
      </c>
      <c r="O36" s="114" t="e">
        <f>N36/#REF!</f>
        <v>#REF!</v>
      </c>
      <c r="P36" s="104" t="e">
        <f>F36-#REF!</f>
        <v>#REF!</v>
      </c>
      <c r="Q36" s="112" t="e">
        <f>P36/#REF!</f>
        <v>#REF!</v>
      </c>
    </row>
    <row r="37" spans="1:18" ht="41.25" customHeight="1" x14ac:dyDescent="0.2">
      <c r="A37" s="235" t="s">
        <v>81</v>
      </c>
      <c r="B37" s="236"/>
      <c r="C37" s="236"/>
      <c r="D37" s="236"/>
      <c r="E37" s="236"/>
      <c r="F37" s="236"/>
      <c r="G37" s="236"/>
      <c r="H37" s="236"/>
      <c r="I37" s="236"/>
      <c r="J37" s="236"/>
      <c r="K37" s="236"/>
      <c r="L37" s="236"/>
      <c r="M37" s="237"/>
      <c r="N37" s="15"/>
      <c r="O37" s="15"/>
    </row>
    <row r="38" spans="1:18" s="4" customFormat="1" ht="24" customHeight="1" x14ac:dyDescent="0.2">
      <c r="A38" s="238" t="s">
        <v>31</v>
      </c>
      <c r="B38" s="239"/>
      <c r="C38" s="239"/>
      <c r="D38" s="239"/>
      <c r="E38" s="239"/>
      <c r="F38" s="239"/>
      <c r="G38" s="239"/>
      <c r="H38" s="239"/>
      <c r="I38" s="239"/>
      <c r="J38" s="239"/>
      <c r="K38" s="239"/>
      <c r="L38" s="239"/>
      <c r="M38" s="240"/>
      <c r="N38" s="19"/>
      <c r="O38" s="19"/>
      <c r="P38" s="98"/>
      <c r="Q38" s="98"/>
    </row>
    <row r="39" spans="1:18" s="4" customFormat="1" ht="24" customHeight="1" x14ac:dyDescent="0.2">
      <c r="A39" s="156" t="s">
        <v>55</v>
      </c>
      <c r="B39" s="157"/>
      <c r="C39" s="157"/>
      <c r="D39" s="157"/>
      <c r="E39" s="157"/>
      <c r="F39" s="157"/>
      <c r="G39" s="157"/>
      <c r="H39" s="157"/>
      <c r="I39" s="157"/>
      <c r="J39" s="157"/>
      <c r="K39" s="157"/>
      <c r="L39" s="157"/>
      <c r="M39" s="158"/>
      <c r="N39" s="19"/>
      <c r="O39" s="19"/>
      <c r="P39" s="98"/>
      <c r="Q39" s="98"/>
    </row>
    <row r="40" spans="1:18" ht="22.5" customHeight="1" x14ac:dyDescent="0.2">
      <c r="B40" s="11"/>
      <c r="C40" s="11"/>
      <c r="D40" s="11"/>
      <c r="E40" s="241" t="s">
        <v>52</v>
      </c>
      <c r="F40" s="242"/>
      <c r="G40" s="140">
        <f t="shared" ref="G40:M40" si="3">($E$10*G10+$E$25*G25+$E$29*G29+$E$35*G35)/$E$36</f>
        <v>-0.37690920332322508</v>
      </c>
      <c r="H40" s="140">
        <f t="shared" si="3"/>
        <v>2.4033230748879375</v>
      </c>
      <c r="I40" s="140">
        <f t="shared" si="3"/>
        <v>4.7822079955811088</v>
      </c>
      <c r="J40" s="140">
        <f t="shared" si="3"/>
        <v>3.010188062086725</v>
      </c>
      <c r="K40" s="140">
        <f t="shared" si="3"/>
        <v>5.6867279713210195</v>
      </c>
      <c r="L40" s="140">
        <f t="shared" si="3"/>
        <v>4.0999386168424676</v>
      </c>
      <c r="M40" s="140">
        <f t="shared" si="3"/>
        <v>5.2162271390743351</v>
      </c>
      <c r="N40" s="16"/>
      <c r="O40" s="16"/>
    </row>
    <row r="41" spans="1:18" ht="16.5" customHeight="1" x14ac:dyDescent="0.2">
      <c r="B41" s="10"/>
      <c r="C41" s="10"/>
      <c r="D41" s="10"/>
      <c r="E41" s="20"/>
      <c r="F41" s="77" t="s">
        <v>51</v>
      </c>
      <c r="G41" s="141"/>
      <c r="H41" s="141">
        <f>H40-'DEC-2013'!$H$42</f>
        <v>0.16855881656160765</v>
      </c>
      <c r="I41" s="141">
        <f>I40-'DEC-2013'!$I$42</f>
        <v>0.44628737172735011</v>
      </c>
      <c r="J41" s="141">
        <f>J40-'DEC-2013'!$J$42</f>
        <v>0.75416051123908279</v>
      </c>
      <c r="K41" s="141">
        <f>K40-'DEC-2013'!$K$42</f>
        <v>1.4930807588215105</v>
      </c>
      <c r="L41" s="141">
        <f>L40-'DEC-2013'!$L$42</f>
        <v>1.1894195439081328</v>
      </c>
      <c r="M41" s="141">
        <f>M40-'DEC-2013'!$M$42</f>
        <v>1.5124886170435081</v>
      </c>
      <c r="N41" s="19"/>
      <c r="O41" s="19"/>
    </row>
    <row r="42" spans="1:18" x14ac:dyDescent="0.2">
      <c r="E42" s="21"/>
      <c r="F42" s="78"/>
      <c r="G42" s="78"/>
      <c r="H42" s="9"/>
      <c r="I42" s="9"/>
      <c r="J42" s="9"/>
      <c r="K42" s="9"/>
      <c r="L42" s="9"/>
      <c r="M42" s="9"/>
      <c r="N42" s="86"/>
      <c r="O42" s="86"/>
    </row>
    <row r="43" spans="1:18" x14ac:dyDescent="0.2">
      <c r="E43" s="22"/>
      <c r="F43" s="78"/>
      <c r="G43" s="78"/>
      <c r="H43" s="6"/>
      <c r="I43" s="6"/>
      <c r="J43" s="6"/>
      <c r="K43" s="6"/>
      <c r="L43" s="6"/>
      <c r="M43" s="6"/>
      <c r="N43" s="86"/>
      <c r="O43" s="86"/>
      <c r="P43" s="99"/>
    </row>
    <row r="44" spans="1:18" x14ac:dyDescent="0.2">
      <c r="H44" s="7"/>
      <c r="I44" s="6"/>
      <c r="J44" s="6"/>
      <c r="K44" s="6"/>
      <c r="L44" s="6"/>
      <c r="M44" s="6"/>
      <c r="N44" s="86"/>
      <c r="O44" s="86"/>
      <c r="P44" s="91"/>
    </row>
    <row r="45" spans="1:18" x14ac:dyDescent="0.2">
      <c r="A45" s="24" t="s">
        <v>61</v>
      </c>
      <c r="B45" s="150"/>
      <c r="C45" s="150"/>
      <c r="D45" s="24"/>
      <c r="E45" s="151">
        <f>E36-'DEC-2013'!$E$38</f>
        <v>0.31212425079439754</v>
      </c>
      <c r="F45" s="152">
        <f>E45/'DEC-2013'!$E$38</f>
        <v>1.3246907219310786E-3</v>
      </c>
      <c r="H45" s="6"/>
      <c r="I45" s="6"/>
      <c r="J45" s="6"/>
      <c r="K45" s="6"/>
      <c r="L45" s="6"/>
      <c r="M45" s="6"/>
      <c r="N45" s="86"/>
      <c r="O45" s="86"/>
      <c r="P45" s="91"/>
    </row>
    <row r="46" spans="1:18" x14ac:dyDescent="0.2">
      <c r="A46" s="24" t="s">
        <v>62</v>
      </c>
      <c r="B46" s="150"/>
      <c r="C46" s="150"/>
      <c r="D46" s="24"/>
      <c r="E46" s="153">
        <f>F36-'DEC-2013'!$F$38</f>
        <v>1503</v>
      </c>
      <c r="F46" s="152">
        <f>E46/'DEC-2013'!$F$38</f>
        <v>6.8169448476052249E-3</v>
      </c>
      <c r="H46" s="5"/>
      <c r="I46" s="5"/>
      <c r="J46" s="5"/>
      <c r="K46" s="5"/>
      <c r="L46" s="5"/>
      <c r="M46" s="5"/>
      <c r="N46" s="100"/>
      <c r="O46" s="100"/>
    </row>
  </sheetData>
  <mergeCells count="19">
    <mergeCell ref="A36:D36"/>
    <mergeCell ref="A37:M37"/>
    <mergeCell ref="A38:M38"/>
    <mergeCell ref="E40:F40"/>
    <mergeCell ref="N3:O3"/>
    <mergeCell ref="P3:Q3"/>
    <mergeCell ref="A4:M4"/>
    <mergeCell ref="A5:M5"/>
    <mergeCell ref="A12:M12"/>
    <mergeCell ref="A32:D32"/>
    <mergeCell ref="H32:M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zoomScaleNormal="90" workbookViewId="0">
      <pane ySplit="3" topLeftCell="A19" activePane="bottomLeft" state="frozen"/>
      <selection pane="bottomLeft" activeCell="A37" sqref="A37:M37"/>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64</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172" t="s">
        <v>4</v>
      </c>
      <c r="I3" s="172" t="s">
        <v>5</v>
      </c>
      <c r="J3" s="172" t="s">
        <v>6</v>
      </c>
      <c r="K3" s="172" t="s">
        <v>7</v>
      </c>
      <c r="L3" s="117" t="s">
        <v>54</v>
      </c>
      <c r="M3" s="173"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x14ac:dyDescent="0.2">
      <c r="A6" s="69" t="s">
        <v>27</v>
      </c>
      <c r="B6" s="29" t="s">
        <v>10</v>
      </c>
      <c r="C6" s="29" t="s">
        <v>26</v>
      </c>
      <c r="D6" s="30">
        <v>36433</v>
      </c>
      <c r="E6" s="164">
        <v>21.524000000000001</v>
      </c>
      <c r="F6" s="76">
        <v>27072</v>
      </c>
      <c r="G6" s="119">
        <v>1.3577430671077466</v>
      </c>
      <c r="H6" s="160">
        <v>3.8035636519893501</v>
      </c>
      <c r="I6" s="160">
        <v>5.3138606185068271</v>
      </c>
      <c r="J6" s="160">
        <v>3.4863996460840818</v>
      </c>
      <c r="K6" s="160">
        <v>6.6205710307913224</v>
      </c>
      <c r="L6" s="160">
        <v>3.7859696403602205</v>
      </c>
      <c r="M6" s="160">
        <v>5.8114217893709519</v>
      </c>
      <c r="N6" s="89">
        <v>5.7686110015446879</v>
      </c>
      <c r="O6" s="89"/>
    </row>
    <row r="7" spans="1:17" s="2" customFormat="1" ht="12.75" customHeight="1" x14ac:dyDescent="0.2">
      <c r="A7" s="70" t="s">
        <v>34</v>
      </c>
      <c r="B7" s="29" t="s">
        <v>10</v>
      </c>
      <c r="C7" s="29" t="s">
        <v>21</v>
      </c>
      <c r="D7" s="32">
        <v>40834</v>
      </c>
      <c r="E7" s="165">
        <v>2.871</v>
      </c>
      <c r="F7" s="33">
        <v>2784</v>
      </c>
      <c r="G7" s="120">
        <v>1.1200000000000001</v>
      </c>
      <c r="H7" s="120">
        <v>0.63</v>
      </c>
      <c r="I7" s="120">
        <v>3.43</v>
      </c>
      <c r="J7" s="120"/>
      <c r="K7" s="120"/>
      <c r="L7" s="120"/>
      <c r="M7" s="122">
        <v>4.16</v>
      </c>
      <c r="N7" s="90">
        <v>1.62</v>
      </c>
      <c r="O7" s="90"/>
      <c r="P7" s="91"/>
      <c r="Q7" s="91"/>
    </row>
    <row r="8" spans="1:17" s="2" customFormat="1" ht="12.75" customHeight="1" x14ac:dyDescent="0.2">
      <c r="A8" s="70" t="s">
        <v>38</v>
      </c>
      <c r="B8" s="12" t="s">
        <v>10</v>
      </c>
      <c r="C8" s="12" t="s">
        <v>21</v>
      </c>
      <c r="D8" s="30">
        <v>36738</v>
      </c>
      <c r="E8" s="166">
        <v>60.712670000000003</v>
      </c>
      <c r="F8" s="31">
        <v>40672</v>
      </c>
      <c r="G8" s="168">
        <v>0.54</v>
      </c>
      <c r="H8" s="161">
        <v>0.91</v>
      </c>
      <c r="I8" s="161">
        <v>3.31</v>
      </c>
      <c r="J8" s="161">
        <v>2.5099999999999998</v>
      </c>
      <c r="K8" s="161">
        <v>4.6900000000000004</v>
      </c>
      <c r="L8" s="161">
        <v>4.3899999999999997</v>
      </c>
      <c r="M8" s="161">
        <v>4.9000000000000004</v>
      </c>
      <c r="N8" s="92">
        <v>1.08</v>
      </c>
      <c r="O8" s="92"/>
      <c r="P8" s="91"/>
      <c r="Q8" s="91"/>
    </row>
    <row r="9" spans="1:17" ht="12.75" customHeight="1" x14ac:dyDescent="0.2">
      <c r="A9" s="71" t="s">
        <v>13</v>
      </c>
      <c r="B9" s="34" t="s">
        <v>10</v>
      </c>
      <c r="C9" s="34" t="s">
        <v>21</v>
      </c>
      <c r="D9" s="35">
        <v>37816</v>
      </c>
      <c r="E9" s="167">
        <v>14.968536212632099</v>
      </c>
      <c r="F9" s="162">
        <v>21426</v>
      </c>
      <c r="G9" s="121">
        <v>1.0700777434402786</v>
      </c>
      <c r="H9" s="122">
        <v>2.6120544168185988</v>
      </c>
      <c r="I9" s="122">
        <v>4.4189621355754216</v>
      </c>
      <c r="J9" s="122">
        <v>3.6564490530742288</v>
      </c>
      <c r="K9" s="122">
        <v>6.9239665081863189</v>
      </c>
      <c r="L9" s="122">
        <v>2.7813070829392439</v>
      </c>
      <c r="M9" s="122">
        <v>2.8333965775821923</v>
      </c>
      <c r="N9" s="90">
        <v>3.7204595057375833</v>
      </c>
      <c r="O9" s="90"/>
    </row>
    <row r="10" spans="1:17" s="24" customFormat="1" ht="23.25" customHeight="1" x14ac:dyDescent="0.2">
      <c r="A10" s="51" t="s">
        <v>44</v>
      </c>
      <c r="B10" s="52" t="s">
        <v>10</v>
      </c>
      <c r="C10" s="52"/>
      <c r="D10" s="53"/>
      <c r="E10" s="75">
        <f>SUM(E6:E9)</f>
        <v>100.0762062126321</v>
      </c>
      <c r="F10" s="54">
        <f>SUM(F6:F9)</f>
        <v>91954</v>
      </c>
      <c r="G10" s="123">
        <f t="shared" ref="G10:M10" si="0">($E$6*G6+$E$7*G7+$E$8*G8+$E$9*G9+$E$35*G35)/($E$10+$E$35)</f>
        <v>0.8469892178295545</v>
      </c>
      <c r="H10" s="123">
        <f t="shared" si="0"/>
        <v>2.1412048506671124</v>
      </c>
      <c r="I10" s="123">
        <f t="shared" si="0"/>
        <v>4.1538589791436378</v>
      </c>
      <c r="J10" s="123">
        <f>($E$6*J6+$E$8*J8+$E$9*J9+$E$35*J35)/($E$10-$E$7+$E$35)</f>
        <v>3.0988734868089423</v>
      </c>
      <c r="K10" s="123">
        <f>($E$6*K6+$E$8*K8+$E$9*K9+$E$35*K35)/($E$10-$E$7+$E$35)</f>
        <v>5.7675951691364755</v>
      </c>
      <c r="L10" s="123">
        <f>($E$6*L6+$E$8*L8+$E$9*L9+$E$35*L35)/($E$10-$E$7+$E$35)</f>
        <v>4.3193661168092827</v>
      </c>
      <c r="M10" s="123">
        <f t="shared" si="0"/>
        <v>5.6917488084442844</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2" t="s">
        <v>28</v>
      </c>
      <c r="B13" s="29" t="s">
        <v>10</v>
      </c>
      <c r="C13" s="29" t="s">
        <v>19</v>
      </c>
      <c r="D13" s="30">
        <v>36606</v>
      </c>
      <c r="E13" s="164">
        <v>7.2359999999999998</v>
      </c>
      <c r="F13" s="76">
        <v>20598</v>
      </c>
      <c r="G13" s="119">
        <v>1.1614807694570168</v>
      </c>
      <c r="H13" s="160">
        <v>4.7867102556470309</v>
      </c>
      <c r="I13" s="160">
        <v>6.6846811744952106</v>
      </c>
      <c r="J13" s="160">
        <v>4.3755971537056793</v>
      </c>
      <c r="K13" s="160">
        <v>6.0046346374184711</v>
      </c>
      <c r="L13" s="160">
        <v>3.6157240194231832</v>
      </c>
      <c r="M13" s="160">
        <v>5.5980074763378518</v>
      </c>
      <c r="N13" s="95">
        <v>5.5426749471128467</v>
      </c>
      <c r="O13" s="95"/>
      <c r="P13" s="96"/>
      <c r="Q13" s="96"/>
    </row>
    <row r="14" spans="1:17" ht="12.75" customHeight="1" x14ac:dyDescent="0.2">
      <c r="A14" s="72" t="s">
        <v>48</v>
      </c>
      <c r="B14" s="29" t="s">
        <v>10</v>
      </c>
      <c r="C14" s="29" t="s">
        <v>19</v>
      </c>
      <c r="D14" s="30">
        <v>39367</v>
      </c>
      <c r="E14" s="166">
        <v>4.6920000000000002</v>
      </c>
      <c r="F14" s="31">
        <v>4026</v>
      </c>
      <c r="G14" s="121">
        <v>0.9379067697318475</v>
      </c>
      <c r="H14" s="122">
        <v>3.4735790031551472</v>
      </c>
      <c r="I14" s="122">
        <v>4.7178787363255648</v>
      </c>
      <c r="J14" s="122">
        <v>2.960921104751435</v>
      </c>
      <c r="K14" s="122">
        <v>4.9034111797797042</v>
      </c>
      <c r="L14" s="122"/>
      <c r="M14" s="160">
        <v>3.2168687462377221</v>
      </c>
      <c r="N14" s="95">
        <v>3.0708218476854565</v>
      </c>
      <c r="O14" s="95"/>
      <c r="P14" s="96"/>
      <c r="Q14" s="96"/>
    </row>
    <row r="15" spans="1:17" x14ac:dyDescent="0.2">
      <c r="A15" s="73" t="s">
        <v>30</v>
      </c>
      <c r="B15" s="29" t="s">
        <v>10</v>
      </c>
      <c r="C15" s="29" t="s">
        <v>20</v>
      </c>
      <c r="D15" s="30">
        <v>36091</v>
      </c>
      <c r="E15" s="165">
        <v>0.47604568499999989</v>
      </c>
      <c r="F15" s="33">
        <v>540</v>
      </c>
      <c r="G15" s="120">
        <v>0.48791125883977937</v>
      </c>
      <c r="H15" s="120">
        <v>3.3631978679965924</v>
      </c>
      <c r="I15" s="120">
        <v>5.4799499213070257</v>
      </c>
      <c r="J15" s="120">
        <v>3.7522886507823205</v>
      </c>
      <c r="K15" s="120">
        <v>5.4184568447897874</v>
      </c>
      <c r="L15" s="120"/>
      <c r="M15" s="120">
        <v>4.7987729622595232</v>
      </c>
      <c r="N15" s="106">
        <v>4.6198603074085964</v>
      </c>
      <c r="O15" s="106"/>
      <c r="P15" s="96"/>
      <c r="Q15" s="96"/>
    </row>
    <row r="16" spans="1:17" ht="13.5" customHeight="1" x14ac:dyDescent="0.2">
      <c r="A16" s="73" t="s">
        <v>17</v>
      </c>
      <c r="B16" s="29" t="s">
        <v>10</v>
      </c>
      <c r="C16" s="29" t="s">
        <v>24</v>
      </c>
      <c r="D16" s="30">
        <v>4.1063829196259997E-2</v>
      </c>
      <c r="E16" s="165">
        <v>6.1458510000000181E-2</v>
      </c>
      <c r="F16" s="33">
        <v>109</v>
      </c>
      <c r="G16" s="120">
        <v>0.63994916709948502</v>
      </c>
      <c r="H16" s="120">
        <v>2.3188942159209081</v>
      </c>
      <c r="I16" s="120">
        <v>5.1762649990973353</v>
      </c>
      <c r="J16" s="120">
        <v>3.0965029112409281</v>
      </c>
      <c r="K16" s="120">
        <v>3.5438474019439559</v>
      </c>
      <c r="L16" s="120"/>
      <c r="M16" s="120">
        <v>4.1525810772571781</v>
      </c>
      <c r="N16" s="106">
        <v>3.8748299457421087</v>
      </c>
      <c r="O16" s="106"/>
      <c r="P16" s="96"/>
      <c r="Q16" s="96"/>
    </row>
    <row r="17" spans="1:18" ht="12.75" customHeight="1" x14ac:dyDescent="0.2">
      <c r="A17" s="72" t="s">
        <v>35</v>
      </c>
      <c r="B17" s="29" t="s">
        <v>10</v>
      </c>
      <c r="C17" s="29" t="s">
        <v>19</v>
      </c>
      <c r="D17" s="30">
        <v>39514</v>
      </c>
      <c r="E17" s="165">
        <v>0.63906739499999965</v>
      </c>
      <c r="F17" s="33">
        <v>1790</v>
      </c>
      <c r="G17" s="120">
        <v>0.28071343869009446</v>
      </c>
      <c r="H17" s="120">
        <v>2.9542022215850228</v>
      </c>
      <c r="I17" s="120">
        <v>4.7001450368544528</v>
      </c>
      <c r="J17" s="120">
        <v>3.0197168618407932</v>
      </c>
      <c r="K17" s="120">
        <v>5.1818921364519044</v>
      </c>
      <c r="L17" s="120"/>
      <c r="M17" s="120">
        <v>5.1138915524874484</v>
      </c>
      <c r="N17" s="106">
        <v>4.518897469658234</v>
      </c>
      <c r="O17" s="106"/>
      <c r="P17" s="96"/>
      <c r="Q17" s="96"/>
    </row>
    <row r="18" spans="1:18" x14ac:dyDescent="0.2">
      <c r="A18" s="70" t="s">
        <v>57</v>
      </c>
      <c r="B18" s="148" t="s">
        <v>10</v>
      </c>
      <c r="C18" s="148" t="s">
        <v>20</v>
      </c>
      <c r="D18" s="36">
        <v>38360</v>
      </c>
      <c r="E18" s="165">
        <v>0.317</v>
      </c>
      <c r="F18" s="33">
        <v>1777</v>
      </c>
      <c r="G18" s="120">
        <v>0.12509999999998911</v>
      </c>
      <c r="H18" s="120">
        <v>-0.31635269637653174</v>
      </c>
      <c r="I18" s="120">
        <v>0.73848430257065223</v>
      </c>
      <c r="J18" s="120">
        <v>0.95357759419974675</v>
      </c>
      <c r="K18" s="120">
        <v>2.5756238098760909</v>
      </c>
      <c r="L18" s="120"/>
      <c r="M18" s="120">
        <v>1.9292525265885319</v>
      </c>
      <c r="N18" s="106">
        <v>1.2626870758617459</v>
      </c>
      <c r="O18" s="106"/>
      <c r="P18" s="96"/>
      <c r="Q18" s="96"/>
    </row>
    <row r="19" spans="1:18" x14ac:dyDescent="0.2">
      <c r="A19" s="70" t="s">
        <v>56</v>
      </c>
      <c r="B19" s="12" t="s">
        <v>10</v>
      </c>
      <c r="C19" s="12" t="s">
        <v>19</v>
      </c>
      <c r="D19" s="36">
        <v>39182</v>
      </c>
      <c r="E19" s="165">
        <v>4.2999999999999997E-2</v>
      </c>
      <c r="F19" s="33">
        <v>232</v>
      </c>
      <c r="G19" s="120">
        <v>-8.759999999999879E-2</v>
      </c>
      <c r="H19" s="120">
        <v>1.0487066912274301</v>
      </c>
      <c r="I19" s="120">
        <v>1.1872416778874517</v>
      </c>
      <c r="J19" s="120">
        <v>0.58959157378291049</v>
      </c>
      <c r="K19" s="120">
        <v>0.29123912534345653</v>
      </c>
      <c r="L19" s="120"/>
      <c r="M19" s="120">
        <v>0.44037459779127269</v>
      </c>
      <c r="N19" s="106">
        <v>2.930302173255428</v>
      </c>
      <c r="O19" s="106"/>
      <c r="P19" s="96"/>
      <c r="Q19" s="96"/>
    </row>
    <row r="20" spans="1:18" ht="12.75" customHeight="1" x14ac:dyDescent="0.2">
      <c r="A20" s="70" t="s">
        <v>14</v>
      </c>
      <c r="B20" s="12" t="s">
        <v>10</v>
      </c>
      <c r="C20" s="12" t="s">
        <v>22</v>
      </c>
      <c r="D20" s="32">
        <v>40834</v>
      </c>
      <c r="E20" s="165">
        <v>1.845</v>
      </c>
      <c r="F20" s="33">
        <v>2183</v>
      </c>
      <c r="G20" s="120">
        <v>0.68</v>
      </c>
      <c r="H20" s="120">
        <v>3.99</v>
      </c>
      <c r="I20" s="120">
        <v>4.37</v>
      </c>
      <c r="J20" s="120"/>
      <c r="K20" s="120"/>
      <c r="L20" s="120"/>
      <c r="M20" s="122">
        <v>5.01</v>
      </c>
      <c r="N20" s="107">
        <v>5</v>
      </c>
      <c r="O20" s="107"/>
      <c r="P20" s="96"/>
      <c r="Q20" s="96"/>
    </row>
    <row r="21" spans="1:18" x14ac:dyDescent="0.2">
      <c r="A21" s="73" t="s">
        <v>39</v>
      </c>
      <c r="B21" s="12" t="s">
        <v>10</v>
      </c>
      <c r="C21" s="12" t="s">
        <v>19</v>
      </c>
      <c r="D21" s="32">
        <v>38245</v>
      </c>
      <c r="E21" s="166">
        <v>13.601381999999999</v>
      </c>
      <c r="F21" s="31">
        <v>27647</v>
      </c>
      <c r="G21" s="168">
        <v>0.52</v>
      </c>
      <c r="H21" s="161">
        <v>2.68</v>
      </c>
      <c r="I21" s="161">
        <v>4.3899999999999997</v>
      </c>
      <c r="J21" s="161">
        <v>2.78</v>
      </c>
      <c r="K21" s="161">
        <v>4.8499999999999996</v>
      </c>
      <c r="L21" s="161"/>
      <c r="M21" s="161">
        <v>5.12</v>
      </c>
      <c r="N21" s="93">
        <v>2.92</v>
      </c>
      <c r="O21" s="93"/>
      <c r="P21" s="96"/>
      <c r="Q21" s="96"/>
    </row>
    <row r="22" spans="1:18" ht="12.75" customHeight="1" x14ac:dyDescent="0.2">
      <c r="A22" s="73" t="s">
        <v>40</v>
      </c>
      <c r="B22" s="12" t="s">
        <v>10</v>
      </c>
      <c r="C22" s="12" t="s">
        <v>19</v>
      </c>
      <c r="D22" s="30">
        <v>37606</v>
      </c>
      <c r="E22" s="166">
        <v>16.908411000000001</v>
      </c>
      <c r="F22" s="31">
        <v>9694</v>
      </c>
      <c r="G22" s="168">
        <v>0.26</v>
      </c>
      <c r="H22" s="161">
        <v>1.99</v>
      </c>
      <c r="I22" s="161">
        <v>2.83</v>
      </c>
      <c r="J22" s="161">
        <v>2.5099999999999998</v>
      </c>
      <c r="K22" s="161">
        <v>3.68</v>
      </c>
      <c r="L22" s="177">
        <v>3.4</v>
      </c>
      <c r="M22" s="161">
        <v>3.49</v>
      </c>
      <c r="N22" s="93">
        <v>2.19</v>
      </c>
      <c r="O22" s="93"/>
      <c r="P22" s="96"/>
      <c r="Q22" s="96"/>
    </row>
    <row r="23" spans="1:18" ht="12.75" customHeight="1" x14ac:dyDescent="0.2">
      <c r="A23" s="72" t="s">
        <v>15</v>
      </c>
      <c r="B23" s="29" t="s">
        <v>10</v>
      </c>
      <c r="C23" s="29" t="s">
        <v>23</v>
      </c>
      <c r="D23" s="30">
        <v>37834</v>
      </c>
      <c r="E23" s="166">
        <v>27.824927827229502</v>
      </c>
      <c r="F23" s="31">
        <v>35197</v>
      </c>
      <c r="G23" s="170">
        <v>0.34170635744883437</v>
      </c>
      <c r="H23" s="122">
        <v>4.5709822832253222</v>
      </c>
      <c r="I23" s="122">
        <v>5.3551979767315627</v>
      </c>
      <c r="J23" s="122">
        <v>3.6890903213748105</v>
      </c>
      <c r="K23" s="122">
        <v>9.1374465445168482</v>
      </c>
      <c r="L23" s="122">
        <v>3.5176981177431399</v>
      </c>
      <c r="M23" s="122">
        <v>3.5265322941175015</v>
      </c>
      <c r="N23" s="107">
        <v>6.0364361582730064</v>
      </c>
      <c r="O23" s="107"/>
      <c r="P23" s="96"/>
      <c r="Q23" s="96"/>
    </row>
    <row r="24" spans="1:18" ht="12.75" customHeight="1" x14ac:dyDescent="0.2">
      <c r="A24" s="73" t="s">
        <v>36</v>
      </c>
      <c r="B24" s="29" t="s">
        <v>10</v>
      </c>
      <c r="C24" s="29" t="s">
        <v>32</v>
      </c>
      <c r="D24" s="30">
        <v>39078</v>
      </c>
      <c r="E24" s="166">
        <v>7.8561615785832197</v>
      </c>
      <c r="F24" s="163">
        <v>13815</v>
      </c>
      <c r="G24" s="169">
        <v>-0.7210600445872184</v>
      </c>
      <c r="H24" s="13">
        <v>6.3249899569455925</v>
      </c>
      <c r="I24" s="13">
        <v>6.6142297381866388</v>
      </c>
      <c r="J24" s="13">
        <v>2.3815656111874528</v>
      </c>
      <c r="K24" s="13">
        <v>13.078310801418503</v>
      </c>
      <c r="L24" s="120"/>
      <c r="M24" s="13">
        <v>-1.9833542560907524</v>
      </c>
      <c r="N24" s="149">
        <v>8.1464545058713469</v>
      </c>
      <c r="O24" s="107"/>
      <c r="P24" s="96"/>
      <c r="Q24" s="96"/>
    </row>
    <row r="25" spans="1:18" ht="12.75" customHeight="1" x14ac:dyDescent="0.2">
      <c r="A25" s="40" t="s">
        <v>43</v>
      </c>
      <c r="B25" s="41" t="s">
        <v>10</v>
      </c>
      <c r="C25" s="41"/>
      <c r="D25" s="42"/>
      <c r="E25" s="80">
        <f>SUM(E13:E24)</f>
        <v>81.500453995812734</v>
      </c>
      <c r="F25" s="43">
        <f>SUM(F13:F24)</f>
        <v>117608</v>
      </c>
      <c r="G25" s="124">
        <f t="shared" ref="G25:M25" si="1">($E$13*G13+$E$14*G14+$E$15*G15+$E$16*G16+$E$17*G17+$E$18*G18+$E$19*G19+$E$20*G20+$E$21*G21+$E$22*G22+$E$23*G23+$E$24*G24)/$E$25</f>
        <v>0.36636252979171119</v>
      </c>
      <c r="H25" s="124">
        <f t="shared" si="1"/>
        <v>3.7895414851400187</v>
      </c>
      <c r="I25" s="124">
        <f t="shared" si="1"/>
        <v>4.8259400774993564</v>
      </c>
      <c r="J25" s="124">
        <f>($E$13*J13+$E$14*J14+$E$15*J15+$E$16*J16+$E$17*J17+$E$18*J18+$E$19*J19+$E$21*J21+$E$22*J22+$E$23*J23+$E$24*J24)/($E$25-$E$20)</f>
        <v>3.156080925765326</v>
      </c>
      <c r="K25" s="124">
        <f>($E$13*K13+$E$14*K14+$E$15*K15+$E$16*K16+$E$17*K17+$E$18*K18+$E$19*K19+$E$21*K21+$E$22*K22+$E$23*K23+$E$24*K24)/($E$25-$E$20)</f>
        <v>7.0124252518693533</v>
      </c>
      <c r="L25" s="124">
        <f>($E$13*L13+$E$22*L22+$E$23*L23)/($E$13+$E$22+$E$23)</f>
        <v>3.493053341552538</v>
      </c>
      <c r="M25" s="124">
        <f t="shared" si="1"/>
        <v>3.4659419526726785</v>
      </c>
      <c r="N25" s="108" t="e">
        <f>E25-#REF!</f>
        <v>#REF!</v>
      </c>
      <c r="O25" s="103" t="e">
        <f>N25/#REF!</f>
        <v>#REF!</v>
      </c>
      <c r="P25" s="104" t="e">
        <f>F25-#REF!</f>
        <v>#REF!</v>
      </c>
      <c r="Q25" s="105" t="e">
        <f>P25/#REF!</f>
        <v>#REF!</v>
      </c>
    </row>
    <row r="26" spans="1:18" s="17" customFormat="1" ht="12.75" customHeight="1" x14ac:dyDescent="0.2">
      <c r="A26" s="67"/>
      <c r="B26" s="18"/>
      <c r="C26" s="18"/>
      <c r="D26" s="55"/>
      <c r="E26" s="83"/>
      <c r="F26" s="38"/>
      <c r="G26" s="129"/>
      <c r="H26" s="130"/>
      <c r="I26" s="130"/>
      <c r="J26" s="130"/>
      <c r="K26" s="130"/>
      <c r="L26" s="130"/>
      <c r="M26" s="131"/>
      <c r="N26" s="106"/>
      <c r="O26" s="106"/>
      <c r="P26" s="94"/>
      <c r="Q26" s="94"/>
    </row>
    <row r="27" spans="1:18" ht="12.75" customHeight="1" x14ac:dyDescent="0.2">
      <c r="A27" s="72" t="s">
        <v>29</v>
      </c>
      <c r="B27" s="29" t="s">
        <v>11</v>
      </c>
      <c r="C27" s="29" t="s">
        <v>19</v>
      </c>
      <c r="D27" s="30">
        <v>38808</v>
      </c>
      <c r="E27" s="164">
        <v>0.85499999999999998</v>
      </c>
      <c r="F27" s="76">
        <v>705</v>
      </c>
      <c r="G27" s="119">
        <v>0.38734147707344974</v>
      </c>
      <c r="H27" s="122">
        <v>0.32941576341007917</v>
      </c>
      <c r="I27" s="122">
        <v>3.7346828473623139</v>
      </c>
      <c r="J27" s="122">
        <v>3.0230350604830036</v>
      </c>
      <c r="K27" s="122">
        <v>4.8251293772126669</v>
      </c>
      <c r="L27" s="122"/>
      <c r="M27" s="160">
        <v>4.8433317259677588</v>
      </c>
      <c r="N27" s="95">
        <v>4.7187451700200445</v>
      </c>
      <c r="O27" s="95"/>
      <c r="P27" s="96"/>
      <c r="Q27" s="96"/>
    </row>
    <row r="28" spans="1:18" ht="12.75" customHeight="1" x14ac:dyDescent="0.2">
      <c r="A28" s="72" t="s">
        <v>16</v>
      </c>
      <c r="B28" s="29" t="s">
        <v>11</v>
      </c>
      <c r="C28" s="29" t="s">
        <v>23</v>
      </c>
      <c r="D28" s="30">
        <v>37816</v>
      </c>
      <c r="E28" s="166">
        <v>1.49222113902991</v>
      </c>
      <c r="F28" s="31">
        <v>1374</v>
      </c>
      <c r="G28" s="121">
        <v>1.1792191471242441</v>
      </c>
      <c r="H28" s="122">
        <v>3.6083457578427014</v>
      </c>
      <c r="I28" s="122">
        <v>2.9270355147841043</v>
      </c>
      <c r="J28" s="122">
        <v>2.18116875553378</v>
      </c>
      <c r="K28" s="122">
        <v>6.4057344817726625</v>
      </c>
      <c r="L28" s="122">
        <v>2.1990485524381764</v>
      </c>
      <c r="M28" s="122">
        <v>2.1448765566714378</v>
      </c>
      <c r="N28" s="107">
        <v>4.6737361685868839</v>
      </c>
      <c r="O28" s="107"/>
      <c r="P28" s="96"/>
      <c r="Q28" s="96"/>
    </row>
    <row r="29" spans="1:18" ht="12.75" customHeight="1" x14ac:dyDescent="0.2">
      <c r="A29" s="40" t="s">
        <v>43</v>
      </c>
      <c r="B29" s="41" t="s">
        <v>11</v>
      </c>
      <c r="C29" s="45"/>
      <c r="D29" s="46"/>
      <c r="E29" s="82">
        <f>SUM(E27:E28)</f>
        <v>2.34722113902991</v>
      </c>
      <c r="F29" s="44">
        <f>SUM(F27:F28)</f>
        <v>2079</v>
      </c>
      <c r="G29" s="124">
        <f>($E$27*G27+$E$28*G28)/$E$29</f>
        <v>0.89076937277820545</v>
      </c>
      <c r="H29" s="124">
        <f>($E$27*H27+$E$28*H28)/$E$29</f>
        <v>2.413961002770773</v>
      </c>
      <c r="I29" s="124">
        <f>($E$27*I27+$E$28*I28)/$E$29</f>
        <v>3.2212295546519303</v>
      </c>
      <c r="J29" s="124">
        <f>($E$27*J27+$E$28*J28)/$E$29</f>
        <v>2.4878274161783724</v>
      </c>
      <c r="K29" s="124">
        <f>($E$27*K27+$E$28*K28)/$E$29</f>
        <v>5.8299824395269422</v>
      </c>
      <c r="L29" s="124">
        <f>L28</f>
        <v>2.1990485524381764</v>
      </c>
      <c r="M29" s="124">
        <f>($E$27*M27+$E$28*M28)/$E$29</f>
        <v>3.127817248276616</v>
      </c>
      <c r="N29" s="108" t="e">
        <f>E29-#REF!</f>
        <v>#REF!</v>
      </c>
      <c r="O29" s="108" t="e">
        <f>N29/#REF!</f>
        <v>#REF!</v>
      </c>
      <c r="P29" s="104" t="e">
        <f>F29-#REF!</f>
        <v>#REF!</v>
      </c>
      <c r="Q29" s="105" t="e">
        <f>P29/#REF!</f>
        <v>#REF!</v>
      </c>
    </row>
    <row r="30" spans="1:18" s="17" customFormat="1" ht="12.75" customHeight="1" x14ac:dyDescent="0.2">
      <c r="A30" s="67"/>
      <c r="B30" s="18"/>
      <c r="C30" s="18"/>
      <c r="D30" s="55"/>
      <c r="E30" s="83"/>
      <c r="F30" s="38"/>
      <c r="G30" s="129"/>
      <c r="H30" s="126"/>
      <c r="I30" s="126"/>
      <c r="J30" s="126"/>
      <c r="K30" s="126"/>
      <c r="L30" s="126"/>
      <c r="M30" s="127"/>
      <c r="N30" s="107"/>
      <c r="O30" s="107"/>
      <c r="P30" s="94"/>
      <c r="Q30" s="94"/>
    </row>
    <row r="31" spans="1:18" s="24" customFormat="1" ht="21" customHeight="1" x14ac:dyDescent="0.2">
      <c r="A31" s="61" t="s">
        <v>45</v>
      </c>
      <c r="B31" s="62"/>
      <c r="C31" s="62"/>
      <c r="D31" s="62"/>
      <c r="E31" s="82">
        <f>E29+E25</f>
        <v>83.847675134842646</v>
      </c>
      <c r="F31" s="44">
        <f>F29+F25</f>
        <v>119687</v>
      </c>
      <c r="G31" s="132">
        <f t="shared" ref="G31:M31" si="2">($E$25*G25+$E$29*G29)/$E$31</f>
        <v>0.38104270816672664</v>
      </c>
      <c r="H31" s="132">
        <f t="shared" si="2"/>
        <v>3.7510336603081242</v>
      </c>
      <c r="I31" s="132">
        <f t="shared" si="2"/>
        <v>4.7810180154959223</v>
      </c>
      <c r="J31" s="132">
        <f t="shared" si="2"/>
        <v>3.1373739221255597</v>
      </c>
      <c r="K31" s="132">
        <f t="shared" si="2"/>
        <v>6.9793240983745104</v>
      </c>
      <c r="L31" s="132">
        <f t="shared" si="2"/>
        <v>3.4568291362882828</v>
      </c>
      <c r="M31" s="132">
        <f t="shared" si="2"/>
        <v>3.4564765327607923</v>
      </c>
      <c r="N31" s="95"/>
      <c r="O31" s="95"/>
      <c r="P31" s="96"/>
      <c r="Q31" s="96"/>
      <c r="R31" s="25"/>
    </row>
    <row r="32" spans="1:18" s="24" customFormat="1" ht="26.25" customHeight="1" x14ac:dyDescent="0.2">
      <c r="A32" s="228" t="s">
        <v>46</v>
      </c>
      <c r="B32" s="228"/>
      <c r="C32" s="228"/>
      <c r="D32" s="228"/>
      <c r="E32" s="84">
        <f>SUM(E10,E31)</f>
        <v>183.92388134747475</v>
      </c>
      <c r="F32" s="63">
        <f>SUM(F10, F31)</f>
        <v>211641</v>
      </c>
      <c r="G32" s="171"/>
      <c r="H32" s="229"/>
      <c r="I32" s="230"/>
      <c r="J32" s="230"/>
      <c r="K32" s="230"/>
      <c r="L32" s="230"/>
      <c r="M32" s="231"/>
      <c r="N32" s="97"/>
      <c r="O32" s="97"/>
      <c r="P32" s="96"/>
      <c r="Q32" s="96"/>
      <c r="R32" s="25"/>
    </row>
    <row r="33" spans="1:18" s="28" customFormat="1" ht="10.5" customHeight="1" x14ac:dyDescent="0.2">
      <c r="A33" s="68"/>
      <c r="B33" s="56"/>
      <c r="C33" s="56"/>
      <c r="D33" s="56"/>
      <c r="E33" s="57"/>
      <c r="F33" s="38"/>
      <c r="G33" s="129"/>
      <c r="H33" s="129"/>
      <c r="I33" s="129"/>
      <c r="J33" s="129"/>
      <c r="K33" s="129"/>
      <c r="L33" s="129"/>
      <c r="M33" s="133"/>
      <c r="N33" s="97"/>
      <c r="O33" s="97"/>
      <c r="P33" s="94"/>
      <c r="Q33" s="94"/>
      <c r="R33" s="39"/>
    </row>
    <row r="34" spans="1:18" ht="22.5" customHeight="1" x14ac:dyDescent="0.2">
      <c r="A34" s="64" t="s">
        <v>25</v>
      </c>
      <c r="B34" s="58"/>
      <c r="C34" s="58"/>
      <c r="D34" s="58"/>
      <c r="E34" s="59"/>
      <c r="F34" s="60"/>
      <c r="G34" s="134"/>
      <c r="H34" s="135"/>
      <c r="I34" s="135"/>
      <c r="J34" s="135"/>
      <c r="K34" s="135"/>
      <c r="L34" s="135"/>
      <c r="M34" s="135"/>
      <c r="N34" s="111"/>
      <c r="O34" s="111"/>
      <c r="P34" s="96"/>
      <c r="Q34" s="96"/>
      <c r="R34" s="2"/>
    </row>
    <row r="35" spans="1:18" ht="39" customHeight="1" thickBot="1" x14ac:dyDescent="0.25">
      <c r="A35" s="74" t="s">
        <v>41</v>
      </c>
      <c r="B35" s="29" t="s">
        <v>10</v>
      </c>
      <c r="C35" s="29" t="s">
        <v>20</v>
      </c>
      <c r="D35" s="65">
        <v>36495</v>
      </c>
      <c r="E35" s="26">
        <v>55.887999999999998</v>
      </c>
      <c r="F35" s="27">
        <v>12124</v>
      </c>
      <c r="G35" s="136">
        <v>0.91</v>
      </c>
      <c r="H35" s="136">
        <v>2.79</v>
      </c>
      <c r="I35" s="136">
        <v>4.59</v>
      </c>
      <c r="J35" s="136">
        <v>3.44</v>
      </c>
      <c r="K35" s="136">
        <v>6.3</v>
      </c>
      <c r="L35" s="136">
        <v>4.8600000000000003</v>
      </c>
      <c r="M35" s="137">
        <v>7.35</v>
      </c>
      <c r="N35" s="106">
        <v>3.41</v>
      </c>
      <c r="O35" s="106"/>
      <c r="P35" s="96"/>
      <c r="Q35" s="96"/>
    </row>
    <row r="36" spans="1:18" ht="31.5" customHeight="1" x14ac:dyDescent="0.2">
      <c r="A36" s="232" t="s">
        <v>33</v>
      </c>
      <c r="B36" s="233"/>
      <c r="C36" s="233"/>
      <c r="D36" s="234"/>
      <c r="E36" s="115">
        <f>E32+E35</f>
        <v>239.81188134747475</v>
      </c>
      <c r="F36" s="116">
        <f>F32+F35</f>
        <v>223765</v>
      </c>
      <c r="G36" s="138"/>
      <c r="H36" s="139"/>
      <c r="I36" s="139"/>
      <c r="J36" s="139"/>
      <c r="K36" s="139"/>
      <c r="L36" s="139"/>
      <c r="M36" s="139"/>
      <c r="N36" s="113" t="e">
        <f>E36-#REF!</f>
        <v>#REF!</v>
      </c>
      <c r="O36" s="114" t="e">
        <f>N36/#REF!</f>
        <v>#REF!</v>
      </c>
      <c r="P36" s="104" t="e">
        <f>F36-#REF!</f>
        <v>#REF!</v>
      </c>
      <c r="Q36" s="112" t="e">
        <f>P36/#REF!</f>
        <v>#REF!</v>
      </c>
    </row>
    <row r="37" spans="1:18" ht="41.25" customHeight="1" x14ac:dyDescent="0.2">
      <c r="A37" s="235" t="s">
        <v>81</v>
      </c>
      <c r="B37" s="236"/>
      <c r="C37" s="236"/>
      <c r="D37" s="236"/>
      <c r="E37" s="236"/>
      <c r="F37" s="236"/>
      <c r="G37" s="236"/>
      <c r="H37" s="236"/>
      <c r="I37" s="236"/>
      <c r="J37" s="236"/>
      <c r="K37" s="236"/>
      <c r="L37" s="236"/>
      <c r="M37" s="237"/>
      <c r="N37" s="15"/>
      <c r="O37" s="15"/>
    </row>
    <row r="38" spans="1:18" s="4" customFormat="1" ht="24" customHeight="1" x14ac:dyDescent="0.2">
      <c r="A38" s="238" t="s">
        <v>31</v>
      </c>
      <c r="B38" s="239"/>
      <c r="C38" s="239"/>
      <c r="D38" s="239"/>
      <c r="E38" s="239"/>
      <c r="F38" s="239"/>
      <c r="G38" s="239"/>
      <c r="H38" s="239"/>
      <c r="I38" s="239"/>
      <c r="J38" s="239"/>
      <c r="K38" s="239"/>
      <c r="L38" s="239"/>
      <c r="M38" s="240"/>
      <c r="N38" s="19"/>
      <c r="O38" s="19"/>
      <c r="P38" s="98"/>
      <c r="Q38" s="98"/>
    </row>
    <row r="39" spans="1:18" s="4" customFormat="1" ht="24" customHeight="1" x14ac:dyDescent="0.2">
      <c r="A39" s="174" t="s">
        <v>55</v>
      </c>
      <c r="B39" s="175"/>
      <c r="C39" s="175"/>
      <c r="D39" s="175"/>
      <c r="E39" s="175"/>
      <c r="F39" s="175"/>
      <c r="G39" s="175"/>
      <c r="H39" s="175"/>
      <c r="I39" s="175"/>
      <c r="J39" s="175"/>
      <c r="K39" s="175"/>
      <c r="L39" s="175"/>
      <c r="M39" s="176"/>
      <c r="N39" s="19"/>
      <c r="O39" s="19"/>
      <c r="P39" s="98"/>
      <c r="Q39" s="98"/>
    </row>
    <row r="40" spans="1:18" ht="22.5" customHeight="1" x14ac:dyDescent="0.2">
      <c r="B40" s="11"/>
      <c r="C40" s="11"/>
      <c r="D40" s="11"/>
      <c r="E40" s="241" t="s">
        <v>52</v>
      </c>
      <c r="F40" s="242"/>
      <c r="G40" s="140">
        <f t="shared" ref="G40:M40" si="3">($E$10*G10+$E$25*G25+$E$29*G29+$E$35*G35)/$E$36</f>
        <v>0.69876059471569352</v>
      </c>
      <c r="H40" s="140">
        <f t="shared" si="3"/>
        <v>2.85526566115418</v>
      </c>
      <c r="I40" s="140">
        <f t="shared" si="3"/>
        <v>4.4747808453961921</v>
      </c>
      <c r="J40" s="140">
        <f t="shared" si="3"/>
        <v>3.191834062560809</v>
      </c>
      <c r="K40" s="140">
        <f t="shared" si="3"/>
        <v>6.3153399016304199</v>
      </c>
      <c r="L40" s="140">
        <f t="shared" si="3"/>
        <v>4.1437835984029503</v>
      </c>
      <c r="M40" s="140">
        <f t="shared" si="3"/>
        <v>5.2966639590890434</v>
      </c>
      <c r="N40" s="16"/>
      <c r="O40" s="16"/>
    </row>
    <row r="41" spans="1:18" ht="16.5" customHeight="1" x14ac:dyDescent="0.2">
      <c r="B41" s="10"/>
      <c r="C41" s="10"/>
      <c r="D41" s="10"/>
      <c r="E41" s="20"/>
      <c r="F41" s="77" t="s">
        <v>51</v>
      </c>
      <c r="G41" s="141"/>
      <c r="H41" s="141">
        <f>H40-'JAN-2014'!H40</f>
        <v>0.45194258626624251</v>
      </c>
      <c r="I41" s="141">
        <f>I40-'JAN-2014'!I40</f>
        <v>-0.30742715018491662</v>
      </c>
      <c r="J41" s="141">
        <f>J40-'JAN-2014'!J40</f>
        <v>0.18164600047408408</v>
      </c>
      <c r="K41" s="141">
        <f>K40-'JAN-2014'!K40</f>
        <v>0.62861193030940044</v>
      </c>
      <c r="L41" s="141">
        <f>L40-'JAN-2014'!L40</f>
        <v>4.3844981560482665E-2</v>
      </c>
      <c r="M41" s="141">
        <f>M40-'JAN-2014'!M40</f>
        <v>8.043682001470831E-2</v>
      </c>
      <c r="N41" s="141">
        <f>N40-'JAN-2014'!N41</f>
        <v>0</v>
      </c>
      <c r="O41" s="141">
        <f>O40-'JAN-2014'!O41</f>
        <v>0</v>
      </c>
      <c r="P41" s="141">
        <f>P40-'JAN-2014'!P41</f>
        <v>0</v>
      </c>
      <c r="Q41" s="141">
        <f>Q40-'JAN-2014'!Q41</f>
        <v>0</v>
      </c>
    </row>
    <row r="42" spans="1:18" x14ac:dyDescent="0.2">
      <c r="E42" s="21"/>
      <c r="F42" s="78"/>
      <c r="G42" s="78"/>
      <c r="H42" s="9"/>
      <c r="I42" s="9"/>
      <c r="J42" s="9"/>
      <c r="K42" s="9"/>
      <c r="L42" s="9"/>
      <c r="M42" s="9"/>
      <c r="N42" s="86"/>
      <c r="O42" s="86"/>
    </row>
    <row r="43" spans="1:18" x14ac:dyDescent="0.2">
      <c r="E43" s="22"/>
      <c r="F43" s="78"/>
      <c r="G43" s="78"/>
      <c r="H43" s="6"/>
      <c r="I43" s="6"/>
      <c r="J43" s="6"/>
      <c r="K43" s="6"/>
      <c r="L43" s="6"/>
      <c r="M43" s="6"/>
      <c r="N43" s="86"/>
      <c r="O43" s="86"/>
      <c r="P43" s="99"/>
    </row>
    <row r="44" spans="1:18" x14ac:dyDescent="0.2">
      <c r="H44" s="7"/>
      <c r="I44" s="6"/>
      <c r="J44" s="6"/>
      <c r="K44" s="6"/>
      <c r="L44" s="6"/>
      <c r="M44" s="6"/>
      <c r="N44" s="86"/>
      <c r="O44" s="86"/>
      <c r="P44" s="91"/>
    </row>
    <row r="45" spans="1:18" x14ac:dyDescent="0.2">
      <c r="A45" s="24" t="s">
        <v>65</v>
      </c>
      <c r="B45" s="150"/>
      <c r="C45" s="150"/>
      <c r="D45" s="24"/>
      <c r="E45" s="151">
        <f>E36-'DEC-2013'!$E$38</f>
        <v>4.1914111297956538</v>
      </c>
      <c r="F45" s="152">
        <f>E45/'DEC-2013'!$E$38</f>
        <v>1.7788824230438885E-2</v>
      </c>
      <c r="H45" s="6"/>
      <c r="I45" s="6"/>
      <c r="J45" s="6"/>
      <c r="K45" s="6"/>
      <c r="L45" s="6"/>
      <c r="M45" s="6"/>
      <c r="N45" s="86"/>
      <c r="O45" s="86"/>
      <c r="P45" s="91"/>
    </row>
    <row r="46" spans="1:18" x14ac:dyDescent="0.2">
      <c r="A46" s="24" t="s">
        <v>66</v>
      </c>
      <c r="B46" s="150"/>
      <c r="C46" s="150"/>
      <c r="D46" s="24"/>
      <c r="E46" s="153">
        <f>F36-'DEC-2013'!$F$38</f>
        <v>3285</v>
      </c>
      <c r="F46" s="152">
        <f>E46/'DEC-2013'!$F$38</f>
        <v>1.4899310595065312E-2</v>
      </c>
      <c r="H46" s="5"/>
      <c r="I46" s="5"/>
      <c r="J46" s="5"/>
      <c r="K46" s="5"/>
      <c r="L46" s="5"/>
      <c r="M46" s="5"/>
      <c r="N46" s="100"/>
      <c r="O46" s="100"/>
    </row>
  </sheetData>
  <mergeCells count="19">
    <mergeCell ref="A1:M1"/>
    <mergeCell ref="A2:A3"/>
    <mergeCell ref="B2:B3"/>
    <mergeCell ref="C2:C3"/>
    <mergeCell ref="D2:D3"/>
    <mergeCell ref="E2:E3"/>
    <mergeCell ref="F2:F3"/>
    <mergeCell ref="G2:M2"/>
    <mergeCell ref="P3:Q3"/>
    <mergeCell ref="A4:M4"/>
    <mergeCell ref="A5:M5"/>
    <mergeCell ref="A12:M12"/>
    <mergeCell ref="A32:D32"/>
    <mergeCell ref="H32:M32"/>
    <mergeCell ref="A36:D36"/>
    <mergeCell ref="A37:M37"/>
    <mergeCell ref="A38:M38"/>
    <mergeCell ref="E40:F40"/>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22"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67</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186" t="s">
        <v>4</v>
      </c>
      <c r="I3" s="186" t="s">
        <v>5</v>
      </c>
      <c r="J3" s="186" t="s">
        <v>6</v>
      </c>
      <c r="K3" s="186" t="s">
        <v>7</v>
      </c>
      <c r="L3" s="117" t="s">
        <v>54</v>
      </c>
      <c r="M3" s="187"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x14ac:dyDescent="0.2">
      <c r="A6" s="69" t="s">
        <v>27</v>
      </c>
      <c r="B6" s="29" t="s">
        <v>10</v>
      </c>
      <c r="C6" s="29" t="s">
        <v>26</v>
      </c>
      <c r="D6" s="30">
        <v>36433</v>
      </c>
      <c r="E6" s="164">
        <v>21.63</v>
      </c>
      <c r="F6" s="76">
        <v>27064</v>
      </c>
      <c r="G6" s="119">
        <v>1.2177886658348536</v>
      </c>
      <c r="H6" s="160">
        <v>3.0894598246146376</v>
      </c>
      <c r="I6" s="160">
        <v>4.8650910504934641</v>
      </c>
      <c r="J6" s="160">
        <v>3.2642303802732808</v>
      </c>
      <c r="K6" s="160">
        <v>6.4653804164463091</v>
      </c>
      <c r="L6" s="160">
        <v>3.7318823743508922</v>
      </c>
      <c r="M6" s="160">
        <v>5.7634621717426837</v>
      </c>
      <c r="N6" s="89">
        <v>5.8114217893709519</v>
      </c>
      <c r="O6" s="89"/>
    </row>
    <row r="7" spans="1:17" s="2" customFormat="1" ht="12.75" customHeight="1" x14ac:dyDescent="0.2">
      <c r="A7" s="70" t="s">
        <v>34</v>
      </c>
      <c r="B7" s="29" t="s">
        <v>10</v>
      </c>
      <c r="C7" s="29" t="s">
        <v>21</v>
      </c>
      <c r="D7" s="32">
        <v>40834</v>
      </c>
      <c r="E7" s="165">
        <v>2.9060000000000001</v>
      </c>
      <c r="F7" s="33">
        <v>2858</v>
      </c>
      <c r="G7" s="120">
        <v>1.42</v>
      </c>
      <c r="H7" s="120">
        <v>0.12</v>
      </c>
      <c r="I7" s="120">
        <v>3.24</v>
      </c>
      <c r="J7" s="120"/>
      <c r="K7" s="120"/>
      <c r="L7" s="120"/>
      <c r="M7" s="122">
        <v>4.1399999999999997</v>
      </c>
      <c r="N7" s="90">
        <v>1.1100000000000001</v>
      </c>
      <c r="O7" s="90"/>
      <c r="P7" s="91"/>
      <c r="Q7" s="91"/>
    </row>
    <row r="8" spans="1:17" s="2" customFormat="1" ht="12.75" customHeight="1" x14ac:dyDescent="0.2">
      <c r="A8" s="70" t="s">
        <v>38</v>
      </c>
      <c r="B8" s="29" t="s">
        <v>10</v>
      </c>
      <c r="C8" s="29" t="s">
        <v>21</v>
      </c>
      <c r="D8" s="32">
        <v>36738</v>
      </c>
      <c r="E8" s="165">
        <v>60.623199999999997</v>
      </c>
      <c r="F8" s="33">
        <v>41037</v>
      </c>
      <c r="G8" s="120">
        <v>0.54</v>
      </c>
      <c r="H8" s="120">
        <v>-0.03</v>
      </c>
      <c r="I8" s="120">
        <v>3.15</v>
      </c>
      <c r="J8" s="120">
        <v>2.4700000000000002</v>
      </c>
      <c r="K8" s="120">
        <v>4.49</v>
      </c>
      <c r="L8" s="120">
        <v>4.34</v>
      </c>
      <c r="M8" s="122">
        <v>4.87</v>
      </c>
      <c r="N8" s="92">
        <v>0.25</v>
      </c>
      <c r="O8" s="92"/>
      <c r="P8" s="91"/>
      <c r="Q8" s="91"/>
    </row>
    <row r="9" spans="1:17" ht="12.75" customHeight="1" x14ac:dyDescent="0.2">
      <c r="A9" s="71" t="s">
        <v>13</v>
      </c>
      <c r="B9" s="34" t="s">
        <v>10</v>
      </c>
      <c r="C9" s="34" t="s">
        <v>21</v>
      </c>
      <c r="D9" s="35">
        <v>37816</v>
      </c>
      <c r="E9" s="167">
        <v>15.2587038511915</v>
      </c>
      <c r="F9" s="162">
        <v>21931</v>
      </c>
      <c r="G9" s="121">
        <v>1.2976600580468123</v>
      </c>
      <c r="H9" s="122">
        <v>2.3590462987688854</v>
      </c>
      <c r="I9" s="122">
        <v>4.2035181449633585</v>
      </c>
      <c r="J9" s="122">
        <v>3.8384634186177324</v>
      </c>
      <c r="K9" s="122">
        <v>6.7820512842707181</v>
      </c>
      <c r="L9" s="122">
        <v>2.778191797142715</v>
      </c>
      <c r="M9" s="122">
        <v>2.8322094879998261</v>
      </c>
      <c r="N9" s="90">
        <v>3.476448393565712</v>
      </c>
      <c r="O9" s="90"/>
    </row>
    <row r="10" spans="1:17" s="24" customFormat="1" ht="23.25" customHeight="1" x14ac:dyDescent="0.2">
      <c r="A10" s="51" t="s">
        <v>44</v>
      </c>
      <c r="B10" s="52" t="s">
        <v>10</v>
      </c>
      <c r="C10" s="52"/>
      <c r="D10" s="53"/>
      <c r="E10" s="75">
        <f>SUM(E6:E9)</f>
        <v>100.4179038511915</v>
      </c>
      <c r="F10" s="54">
        <f>SUM(F6:F9)</f>
        <v>92890</v>
      </c>
      <c r="G10" s="123">
        <f>($E$6*G6+$E$7*G7+$E$8*G8+$E$9*G9+$E$34*G34)/($E$10+$E$34)</f>
        <v>0.88874308581137351</v>
      </c>
      <c r="H10" s="123">
        <f>($E$6*H6+$E$7*H7+$E$8*H8+$E$9*H9+$E$34*H34)/($E$10+$E$34)</f>
        <v>1.5149143506592826</v>
      </c>
      <c r="I10" s="123">
        <f>($E$6*I6+$E$7*I7+$E$8*I8+$E$9*I9+$E$34*I34)/($E$10+$E$34)</f>
        <v>3.9394199743145504</v>
      </c>
      <c r="J10" s="123">
        <f>($E$6*J6+$E$8*J8+$E$9*J9+$E$34*J34)/($E$6+$E$8+$E$9+$E$34)</f>
        <v>3.0939254029742354</v>
      </c>
      <c r="K10" s="123">
        <f>($E$6*K6+$E$8*K8+$E$9*K9+$E$34*K34)/($E$6+$E$8+$E$9+$E$34)</f>
        <v>5.6093669539220272</v>
      </c>
      <c r="L10" s="123">
        <f>($E$6*L6+$E$8*L8+$E$9*L9+$E$34*L34)/($E$6+$E$8+$E$9+$E$34)</f>
        <v>4.2781762969414334</v>
      </c>
      <c r="M10" s="123">
        <f>($E$6*M6+$E$7*M7+$E$8*M8+$E$9*M9+$E$34*M34)/($E$10+$E$34)</f>
        <v>5.6593783430397071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2" t="s">
        <v>28</v>
      </c>
      <c r="B13" s="29" t="s">
        <v>10</v>
      </c>
      <c r="C13" s="29" t="s">
        <v>19</v>
      </c>
      <c r="D13" s="30">
        <v>36606</v>
      </c>
      <c r="E13" s="164">
        <v>7.2409999999999997</v>
      </c>
      <c r="F13" s="76">
        <v>20603</v>
      </c>
      <c r="G13" s="119">
        <v>1.0734713799574862</v>
      </c>
      <c r="H13" s="160">
        <v>3.8938838054845881</v>
      </c>
      <c r="I13" s="160">
        <v>6.0399724515102449</v>
      </c>
      <c r="J13" s="160">
        <v>4.1350926586553038</v>
      </c>
      <c r="K13" s="160">
        <v>5.9972088314985017</v>
      </c>
      <c r="L13" s="160">
        <v>3.545954121913919</v>
      </c>
      <c r="M13" s="160">
        <v>5.5552251352753768</v>
      </c>
      <c r="N13" s="95">
        <v>5.5980074763378518</v>
      </c>
      <c r="O13" s="95"/>
      <c r="P13" s="96"/>
      <c r="Q13" s="96"/>
    </row>
    <row r="14" spans="1:17" ht="12.75" customHeight="1" x14ac:dyDescent="0.2">
      <c r="A14" s="72" t="s">
        <v>48</v>
      </c>
      <c r="B14" s="29" t="s">
        <v>10</v>
      </c>
      <c r="C14" s="29" t="s">
        <v>19</v>
      </c>
      <c r="D14" s="30">
        <v>39367</v>
      </c>
      <c r="E14" s="166">
        <v>4.6040000000000001</v>
      </c>
      <c r="F14" s="31">
        <v>3975</v>
      </c>
      <c r="G14" s="121">
        <v>0.61939860033130956</v>
      </c>
      <c r="H14" s="122">
        <v>2.6557916658535685</v>
      </c>
      <c r="I14" s="122">
        <v>4.2537259281914874</v>
      </c>
      <c r="J14" s="122">
        <v>2.8952981697244251</v>
      </c>
      <c r="K14" s="122">
        <v>4.7170470158191424</v>
      </c>
      <c r="L14" s="122"/>
      <c r="M14" s="160">
        <v>3.1201844405021495</v>
      </c>
      <c r="N14" s="95">
        <v>3.2168687462377221</v>
      </c>
      <c r="O14" s="95"/>
      <c r="P14" s="96"/>
      <c r="Q14" s="96"/>
    </row>
    <row r="15" spans="1:17" x14ac:dyDescent="0.2">
      <c r="A15" s="73" t="s">
        <v>30</v>
      </c>
      <c r="B15" s="29" t="s">
        <v>10</v>
      </c>
      <c r="C15" s="29" t="s">
        <v>20</v>
      </c>
      <c r="D15" s="30">
        <v>36091</v>
      </c>
      <c r="E15" s="165">
        <v>0.49317465999999993</v>
      </c>
      <c r="F15" s="33">
        <v>540</v>
      </c>
      <c r="G15" s="120">
        <v>4.2682280034967102</v>
      </c>
      <c r="H15" s="120">
        <v>6.5954923849585345</v>
      </c>
      <c r="I15" s="120">
        <v>7.1825100186237334</v>
      </c>
      <c r="J15" s="120">
        <v>5.0037100966953796</v>
      </c>
      <c r="K15" s="120">
        <v>5.8272588428518679</v>
      </c>
      <c r="L15" s="120"/>
      <c r="M15" s="120">
        <v>5.4006499249170448</v>
      </c>
      <c r="N15" s="106">
        <v>7.8913678228612838</v>
      </c>
      <c r="O15" s="106"/>
      <c r="P15" s="96"/>
      <c r="Q15" s="96"/>
    </row>
    <row r="16" spans="1:17" ht="13.5" customHeight="1" x14ac:dyDescent="0.2">
      <c r="A16" s="73" t="s">
        <v>17</v>
      </c>
      <c r="B16" s="29" t="s">
        <v>10</v>
      </c>
      <c r="C16" s="29" t="s">
        <v>24</v>
      </c>
      <c r="D16" s="30">
        <v>4.1063829196259997E-2</v>
      </c>
      <c r="E16" s="165">
        <v>6.2514710000000182E-2</v>
      </c>
      <c r="F16" s="33">
        <v>109</v>
      </c>
      <c r="G16" s="120">
        <v>2.6021600758556751</v>
      </c>
      <c r="H16" s="120">
        <v>4.2252489849996966</v>
      </c>
      <c r="I16" s="120">
        <v>5.92152911873145</v>
      </c>
      <c r="J16" s="120">
        <v>3.6680107448398447</v>
      </c>
      <c r="K16" s="120">
        <v>3.7067833480224355</v>
      </c>
      <c r="L16" s="120"/>
      <c r="M16" s="120">
        <v>4.439979233600555</v>
      </c>
      <c r="N16" s="106">
        <v>5.8101844639738331</v>
      </c>
      <c r="O16" s="106"/>
      <c r="P16" s="96"/>
      <c r="Q16" s="96"/>
    </row>
    <row r="17" spans="1:18" ht="12.75" customHeight="1" x14ac:dyDescent="0.2">
      <c r="A17" s="72" t="s">
        <v>35</v>
      </c>
      <c r="B17" s="29" t="s">
        <v>10</v>
      </c>
      <c r="C17" s="29" t="s">
        <v>19</v>
      </c>
      <c r="D17" s="30">
        <v>39514</v>
      </c>
      <c r="E17" s="165">
        <v>0.63831391499999957</v>
      </c>
      <c r="F17" s="33">
        <v>1787</v>
      </c>
      <c r="G17" s="120">
        <v>1.9663476027055538</v>
      </c>
      <c r="H17" s="120">
        <v>4.3022930022664552</v>
      </c>
      <c r="I17" s="120">
        <v>5.3256833607474796</v>
      </c>
      <c r="J17" s="120">
        <v>3.6346399433795362</v>
      </c>
      <c r="K17" s="120">
        <v>5.0951076173108456</v>
      </c>
      <c r="L17" s="120"/>
      <c r="M17" s="120">
        <v>5.3412955930746353</v>
      </c>
      <c r="N17" s="106">
        <v>5.8875181464202786</v>
      </c>
      <c r="O17" s="106"/>
      <c r="P17" s="96"/>
      <c r="Q17" s="96"/>
    </row>
    <row r="18" spans="1:18" x14ac:dyDescent="0.2">
      <c r="A18" s="70" t="s">
        <v>57</v>
      </c>
      <c r="B18" s="148" t="s">
        <v>10</v>
      </c>
      <c r="C18" s="148" t="s">
        <v>20</v>
      </c>
      <c r="D18" s="36">
        <v>38360</v>
      </c>
      <c r="E18" s="165">
        <v>0.28199999999999997</v>
      </c>
      <c r="F18" s="33">
        <v>1679</v>
      </c>
      <c r="G18" s="120">
        <v>7.2000000000072006E-3</v>
      </c>
      <c r="H18" s="120">
        <v>-0.54548051629150773</v>
      </c>
      <c r="I18" s="120">
        <v>0.90549292181372198</v>
      </c>
      <c r="J18" s="120">
        <v>1.0608451198038806</v>
      </c>
      <c r="K18" s="120">
        <v>2.5656503023752686</v>
      </c>
      <c r="L18" s="120"/>
      <c r="M18" s="120">
        <v>1.8156010220729051</v>
      </c>
      <c r="N18" s="106">
        <v>0.85667721742124225</v>
      </c>
      <c r="O18" s="106"/>
      <c r="P18" s="96"/>
      <c r="Q18" s="96"/>
    </row>
    <row r="19" spans="1:18" x14ac:dyDescent="0.2">
      <c r="A19" s="70" t="s">
        <v>56</v>
      </c>
      <c r="B19" s="12" t="s">
        <v>10</v>
      </c>
      <c r="C19" s="12" t="s">
        <v>19</v>
      </c>
      <c r="D19" s="36">
        <v>39182</v>
      </c>
      <c r="E19" s="165">
        <v>3.9E-2</v>
      </c>
      <c r="F19" s="33">
        <v>220</v>
      </c>
      <c r="G19" s="120">
        <v>-0.18860000000000543</v>
      </c>
      <c r="H19" s="120">
        <v>0.12548637647042948</v>
      </c>
      <c r="I19" s="120">
        <v>1.2451541896404406</v>
      </c>
      <c r="J19" s="120">
        <v>0.68780242824260829</v>
      </c>
      <c r="K19" s="120">
        <v>0.25644720951260247</v>
      </c>
      <c r="L19" s="120"/>
      <c r="M19" s="120">
        <v>0.46514206489751347</v>
      </c>
      <c r="N19" s="106">
        <v>1.9667298174966819</v>
      </c>
      <c r="O19" s="106"/>
      <c r="P19" s="96"/>
      <c r="Q19" s="96"/>
    </row>
    <row r="20" spans="1:18" ht="12.75" customHeight="1" x14ac:dyDescent="0.2">
      <c r="A20" s="70" t="s">
        <v>14</v>
      </c>
      <c r="B20" s="12" t="s">
        <v>10</v>
      </c>
      <c r="C20" s="12" t="s">
        <v>22</v>
      </c>
      <c r="D20" s="32">
        <v>40834</v>
      </c>
      <c r="E20" s="165">
        <v>1.899</v>
      </c>
      <c r="F20" s="33">
        <v>2247</v>
      </c>
      <c r="G20" s="120">
        <v>0.69</v>
      </c>
      <c r="H20" s="120">
        <v>2.02</v>
      </c>
      <c r="I20" s="120">
        <v>4.12</v>
      </c>
      <c r="J20" s="120"/>
      <c r="K20" s="120"/>
      <c r="L20" s="120"/>
      <c r="M20" s="122">
        <v>4.82</v>
      </c>
      <c r="N20" s="107">
        <v>3.03</v>
      </c>
      <c r="O20" s="107"/>
      <c r="P20" s="96"/>
      <c r="Q20" s="96"/>
    </row>
    <row r="21" spans="1:18" x14ac:dyDescent="0.2">
      <c r="A21" s="70" t="s">
        <v>39</v>
      </c>
      <c r="B21" s="29" t="s">
        <v>10</v>
      </c>
      <c r="C21" s="29" t="s">
        <v>19</v>
      </c>
      <c r="D21" s="32">
        <v>38245</v>
      </c>
      <c r="E21" s="165">
        <v>30.213816000000001</v>
      </c>
      <c r="F21" s="33">
        <v>35140</v>
      </c>
      <c r="G21" s="120">
        <v>0.21</v>
      </c>
      <c r="H21" s="120">
        <v>0.92</v>
      </c>
      <c r="I21" s="120">
        <v>4.1100000000000003</v>
      </c>
      <c r="J21" s="120">
        <v>2.64</v>
      </c>
      <c r="K21" s="120">
        <v>4.6100000000000003</v>
      </c>
      <c r="L21" s="120"/>
      <c r="M21" s="122">
        <v>5.04</v>
      </c>
      <c r="N21" s="93">
        <v>1.19</v>
      </c>
      <c r="O21" s="93"/>
      <c r="P21" s="96"/>
      <c r="Q21" s="96"/>
    </row>
    <row r="22" spans="1:18" ht="12.75" customHeight="1" x14ac:dyDescent="0.2">
      <c r="A22" s="72" t="s">
        <v>15</v>
      </c>
      <c r="B22" s="29" t="s">
        <v>10</v>
      </c>
      <c r="C22" s="29" t="s">
        <v>23</v>
      </c>
      <c r="D22" s="30">
        <v>37834</v>
      </c>
      <c r="E22" s="166">
        <v>28.202198801805299</v>
      </c>
      <c r="F22" s="31">
        <v>35589</v>
      </c>
      <c r="G22" s="170">
        <v>0.51563208573435215</v>
      </c>
      <c r="H22" s="122">
        <v>2.9428966301156212</v>
      </c>
      <c r="I22" s="122">
        <v>5.4835011192698291</v>
      </c>
      <c r="J22" s="122">
        <v>4.2635613937166195</v>
      </c>
      <c r="K22" s="122">
        <v>8.7199725808801531</v>
      </c>
      <c r="L22" s="122">
        <v>3.570767397645036</v>
      </c>
      <c r="M22" s="122">
        <v>3.5147807143698362</v>
      </c>
      <c r="N22" s="107">
        <v>4.4192188099873686</v>
      </c>
      <c r="O22" s="107"/>
      <c r="P22" s="96"/>
      <c r="Q22" s="96"/>
    </row>
    <row r="23" spans="1:18" ht="12.75" customHeight="1" x14ac:dyDescent="0.2">
      <c r="A23" s="73" t="s">
        <v>36</v>
      </c>
      <c r="B23" s="29" t="s">
        <v>10</v>
      </c>
      <c r="C23" s="29" t="s">
        <v>32</v>
      </c>
      <c r="D23" s="30">
        <v>39078</v>
      </c>
      <c r="E23" s="166">
        <v>7.8989232409666004</v>
      </c>
      <c r="F23" s="163">
        <v>13870</v>
      </c>
      <c r="G23" s="169">
        <v>-0.99274927998000972</v>
      </c>
      <c r="H23" s="13">
        <v>2.7163162824351827</v>
      </c>
      <c r="I23" s="13">
        <v>6.6343095642740879</v>
      </c>
      <c r="J23" s="13">
        <v>3.1273818873299497</v>
      </c>
      <c r="K23" s="13">
        <v>12.144450527917661</v>
      </c>
      <c r="L23" s="120"/>
      <c r="M23" s="13">
        <v>-1.9973689886156443</v>
      </c>
      <c r="N23" s="149">
        <v>4.5494489055725396</v>
      </c>
      <c r="O23" s="107"/>
      <c r="P23" s="96"/>
      <c r="Q23" s="96"/>
    </row>
    <row r="24" spans="1:18" ht="12.75" customHeight="1" x14ac:dyDescent="0.2">
      <c r="A24" s="40" t="s">
        <v>43</v>
      </c>
      <c r="B24" s="41" t="s">
        <v>10</v>
      </c>
      <c r="C24" s="41"/>
      <c r="D24" s="42"/>
      <c r="E24" s="80">
        <f>SUM(E13:E23)</f>
        <v>81.573941327771891</v>
      </c>
      <c r="F24" s="43">
        <f>SUM(F13:F23)</f>
        <v>115759</v>
      </c>
      <c r="G24" s="124">
        <f t="shared" ref="G24:I24" si="0">($E$13*G13+$E$14*G14+$E$15*G15+$E$16*G16+$E$17*G17+$E$18*G18+$E$19*G19+$E$20*G20+$E$21*G21+$E$22*G22+$E$23*G23)/$E$24</f>
        <v>0.34934825703162031</v>
      </c>
      <c r="H24" s="124">
        <f t="shared" si="0"/>
        <v>2.2387277937502135</v>
      </c>
      <c r="I24" s="124">
        <f t="shared" si="0"/>
        <v>5.0259767384951841</v>
      </c>
      <c r="J24" s="124">
        <f>($E$13*J13+$E$14*J14+$E$15*J15+$E$16*J16+$E$17*J17+$E$18*J18+$E$19*J19+$E$21*J21+$E$22*J22+$E$23*J23)/($E$24-$E$20)</f>
        <v>3.4304941481770093</v>
      </c>
      <c r="K24" s="124">
        <f>($E$13*K13+$E$14*K14+$E$15*K15+$E$16*K16+$E$17*K17+$E$18*K18+$E$19*K19+$E$21*K21+$E$22*K22+$E$23*K23)/($E$24-$E$20)</f>
        <v>6.9453534165882136</v>
      </c>
      <c r="L24" s="124">
        <f>($E$13*L13+$E$22*L22)/($E$13+$E$22)</f>
        <v>3.5656980772777147</v>
      </c>
      <c r="M24" s="124">
        <f>($E$13*M13+$E$14*M14+$E$15*M15+$E$16*M16+$E$17*M17+$E$18*M18+$E$19*M19+$E$20*M20+$E$21*M21+$E$22*M22+$E$23*M23)/$E$24</f>
        <v>3.7542577100589742</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0.874</v>
      </c>
      <c r="F26" s="76">
        <v>703</v>
      </c>
      <c r="G26" s="119">
        <v>0.38431460668191875</v>
      </c>
      <c r="H26" s="122">
        <v>0.4085634747614586</v>
      </c>
      <c r="I26" s="122">
        <v>3.3721134466151215</v>
      </c>
      <c r="J26" s="122">
        <v>2.5909923031959936</v>
      </c>
      <c r="K26" s="122">
        <v>4.6076882838657074</v>
      </c>
      <c r="L26" s="122"/>
      <c r="M26" s="160">
        <v>4.7860732843327591</v>
      </c>
      <c r="N26" s="95">
        <v>4.8433317259677588</v>
      </c>
      <c r="O26" s="95"/>
      <c r="P26" s="96"/>
      <c r="Q26" s="96"/>
    </row>
    <row r="27" spans="1:18" ht="12.75" customHeight="1" x14ac:dyDescent="0.2">
      <c r="A27" s="72" t="s">
        <v>16</v>
      </c>
      <c r="B27" s="29" t="s">
        <v>11</v>
      </c>
      <c r="C27" s="29" t="s">
        <v>23</v>
      </c>
      <c r="D27" s="30">
        <v>37816</v>
      </c>
      <c r="E27" s="166">
        <v>1.5567519942325936</v>
      </c>
      <c r="F27" s="31">
        <v>1436</v>
      </c>
      <c r="G27" s="121">
        <v>1.3028657402510246</v>
      </c>
      <c r="H27" s="122">
        <v>3.400840941562544</v>
      </c>
      <c r="I27" s="122">
        <v>3.2556813493690662</v>
      </c>
      <c r="J27" s="122">
        <v>2.233448944347538</v>
      </c>
      <c r="K27" s="122">
        <v>5.877697896511358</v>
      </c>
      <c r="L27" s="122">
        <v>2.1721112982469037</v>
      </c>
      <c r="M27" s="122">
        <v>2.1393413759111857</v>
      </c>
      <c r="N27" s="107">
        <v>4.5070943499919469</v>
      </c>
      <c r="O27" s="107"/>
      <c r="P27" s="96"/>
      <c r="Q27" s="96"/>
    </row>
    <row r="28" spans="1:18" ht="12.75" customHeight="1" x14ac:dyDescent="0.2">
      <c r="A28" s="40" t="s">
        <v>43</v>
      </c>
      <c r="B28" s="41" t="s">
        <v>11</v>
      </c>
      <c r="C28" s="45"/>
      <c r="D28" s="46"/>
      <c r="E28" s="82">
        <f>SUM(E26:E27)</f>
        <v>2.4307519942325935</v>
      </c>
      <c r="F28" s="44">
        <f>SUM(F26:F27)</f>
        <v>2139</v>
      </c>
      <c r="G28" s="124">
        <f>($E$26*G26+$E$27*G27)/$E$28</f>
        <v>0.97259194323503062</v>
      </c>
      <c r="H28" s="124">
        <f>($E$26*H26+$E$27*H27)/$E$28</f>
        <v>2.3249391168641331</v>
      </c>
      <c r="I28" s="124">
        <f>($E$26*I26+$E$27*I27)/$E$28</f>
        <v>3.2975456173957927</v>
      </c>
      <c r="J28" s="124">
        <f>($E$26*J26+$E$27*J27)/$E$28</f>
        <v>2.3620070598504763</v>
      </c>
      <c r="K28" s="124">
        <f>($E$26*K26+$E$27*K27)/$E$28</f>
        <v>5.4210538603916918</v>
      </c>
      <c r="L28" s="124">
        <f>L27</f>
        <v>2.1721112982469037</v>
      </c>
      <c r="M28" s="124">
        <f>($E$26*M26+$E$27*M27)/$E$28</f>
        <v>3.0909990083842032</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84.004693322004485</v>
      </c>
      <c r="F30" s="44">
        <f>F28+F24</f>
        <v>117898</v>
      </c>
      <c r="G30" s="132">
        <f t="shared" ref="G30:M30" si="1">($E$24*G24+$E$28*G28)/$E$30</f>
        <v>0.3673823783791591</v>
      </c>
      <c r="H30" s="132">
        <f t="shared" si="1"/>
        <v>2.2412223965789067</v>
      </c>
      <c r="I30" s="132">
        <f t="shared" si="1"/>
        <v>4.9759630163046698</v>
      </c>
      <c r="J30" s="132">
        <f t="shared" si="1"/>
        <v>3.3995765051495432</v>
      </c>
      <c r="K30" s="132">
        <f t="shared" si="1"/>
        <v>6.9012464263772042</v>
      </c>
      <c r="L30" s="132">
        <f t="shared" si="1"/>
        <v>3.5253733798315783</v>
      </c>
      <c r="M30" s="132">
        <f t="shared" si="1"/>
        <v>3.735065717944817</v>
      </c>
      <c r="N30" s="95"/>
      <c r="O30" s="95"/>
      <c r="P30" s="96"/>
      <c r="Q30" s="96"/>
      <c r="R30" s="25"/>
    </row>
    <row r="31" spans="1:18" s="24" customFormat="1" ht="26.25" customHeight="1" x14ac:dyDescent="0.2">
      <c r="A31" s="228" t="s">
        <v>46</v>
      </c>
      <c r="B31" s="228"/>
      <c r="C31" s="228"/>
      <c r="D31" s="228"/>
      <c r="E31" s="84">
        <f>SUM(E10,E30)</f>
        <v>184.42259717319598</v>
      </c>
      <c r="F31" s="63">
        <f>SUM(F10, F30)</f>
        <v>210788</v>
      </c>
      <c r="G31" s="185"/>
      <c r="H31" s="229"/>
      <c r="I31" s="230"/>
      <c r="J31" s="230"/>
      <c r="K31" s="230"/>
      <c r="L31" s="230"/>
      <c r="M31" s="231"/>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56.097999999999999</v>
      </c>
      <c r="F34" s="27">
        <v>12129</v>
      </c>
      <c r="G34" s="136">
        <v>1</v>
      </c>
      <c r="H34" s="136">
        <v>2.42</v>
      </c>
      <c r="I34" s="136">
        <v>4.4000000000000004</v>
      </c>
      <c r="J34" s="136">
        <v>3.5</v>
      </c>
      <c r="K34" s="136">
        <v>6.17</v>
      </c>
      <c r="L34" s="136">
        <v>4.83</v>
      </c>
      <c r="M34" s="137">
        <v>7.32</v>
      </c>
      <c r="N34" s="106">
        <v>3.03</v>
      </c>
      <c r="O34" s="106"/>
      <c r="P34" s="96"/>
      <c r="Q34" s="96"/>
    </row>
    <row r="35" spans="1:18" ht="31.5" customHeight="1" x14ac:dyDescent="0.2">
      <c r="A35" s="232" t="s">
        <v>33</v>
      </c>
      <c r="B35" s="233"/>
      <c r="C35" s="233"/>
      <c r="D35" s="234"/>
      <c r="E35" s="115">
        <f>E31+E34</f>
        <v>240.52059717319599</v>
      </c>
      <c r="F35" s="116">
        <f>F31+F34</f>
        <v>222917</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5" t="s">
        <v>81</v>
      </c>
      <c r="B36" s="236"/>
      <c r="C36" s="236"/>
      <c r="D36" s="236"/>
      <c r="E36" s="236"/>
      <c r="F36" s="236"/>
      <c r="G36" s="236"/>
      <c r="H36" s="236"/>
      <c r="I36" s="236"/>
      <c r="J36" s="236"/>
      <c r="K36" s="236"/>
      <c r="L36" s="236"/>
      <c r="M36" s="237"/>
      <c r="N36" s="15"/>
      <c r="O36" s="15"/>
    </row>
    <row r="37" spans="1:18" s="4" customFormat="1" ht="24" customHeight="1" x14ac:dyDescent="0.2">
      <c r="A37" s="238" t="s">
        <v>31</v>
      </c>
      <c r="B37" s="239"/>
      <c r="C37" s="239"/>
      <c r="D37" s="239"/>
      <c r="E37" s="239"/>
      <c r="F37" s="239"/>
      <c r="G37" s="239"/>
      <c r="H37" s="239"/>
      <c r="I37" s="239"/>
      <c r="J37" s="239"/>
      <c r="K37" s="239"/>
      <c r="L37" s="239"/>
      <c r="M37" s="240"/>
      <c r="N37" s="19"/>
      <c r="O37" s="19"/>
      <c r="P37" s="98"/>
      <c r="Q37" s="98"/>
    </row>
    <row r="38" spans="1:18" s="4" customFormat="1" ht="24" customHeight="1" x14ac:dyDescent="0.2">
      <c r="A38" s="182" t="s">
        <v>55</v>
      </c>
      <c r="B38" s="183"/>
      <c r="C38" s="183"/>
      <c r="D38" s="183"/>
      <c r="E38" s="183"/>
      <c r="F38" s="183"/>
      <c r="G38" s="183"/>
      <c r="H38" s="183"/>
      <c r="I38" s="183"/>
      <c r="J38" s="183"/>
      <c r="K38" s="183"/>
      <c r="L38" s="183"/>
      <c r="M38" s="184"/>
      <c r="N38" s="19"/>
      <c r="O38" s="19"/>
      <c r="P38" s="98"/>
      <c r="Q38" s="98"/>
    </row>
    <row r="39" spans="1:18" ht="22.5" customHeight="1" x14ac:dyDescent="0.2">
      <c r="B39" s="11"/>
      <c r="C39" s="11"/>
      <c r="D39" s="11"/>
      <c r="E39" s="241" t="s">
        <v>52</v>
      </c>
      <c r="F39" s="242"/>
      <c r="G39" s="140">
        <f>($E$10*G10+$E$24*G24+$E$28*G28+$E$34*G34)/$E$35</f>
        <v>0.73260071627123102</v>
      </c>
      <c r="H39" s="140">
        <f>($E$10*H10+$E$24*H24+$E$28*H28+$E$34*H34)/$E$35</f>
        <v>1.979684439896179</v>
      </c>
      <c r="I39" s="140">
        <f t="shared" ref="I39:M39" si="2">($E$10*I10+$E$24*I24+$E$28*I28+$E$34*I34)/$E$35</f>
        <v>4.4088687448788164</v>
      </c>
      <c r="J39" s="140">
        <f t="shared" si="2"/>
        <v>3.2953888136559741</v>
      </c>
      <c r="K39" s="140">
        <f t="shared" si="2"/>
        <v>6.191330965140069</v>
      </c>
      <c r="L39" s="140">
        <f t="shared" si="2"/>
        <v>4.1439558914170869</v>
      </c>
      <c r="M39" s="140">
        <f t="shared" si="2"/>
        <v>5.3746054835856887</v>
      </c>
      <c r="N39" s="16"/>
      <c r="O39" s="16"/>
    </row>
    <row r="40" spans="1:18" ht="16.5" customHeight="1" x14ac:dyDescent="0.2">
      <c r="B40" s="10"/>
      <c r="C40" s="10"/>
      <c r="D40" s="10"/>
      <c r="E40" s="20"/>
      <c r="F40" s="77" t="s">
        <v>51</v>
      </c>
      <c r="G40" s="141"/>
      <c r="H40" s="141">
        <f>H39-'FEB-2014'!H40</f>
        <v>-0.87558122125800097</v>
      </c>
      <c r="I40" s="141">
        <f>I39-'FEB-2014'!I40</f>
        <v>-6.5912100517375727E-2</v>
      </c>
      <c r="J40" s="141">
        <f>J39-'FEB-2014'!J40</f>
        <v>0.1035547510951651</v>
      </c>
      <c r="K40" s="141">
        <f>K39-'FEB-2014'!K40</f>
        <v>-0.12400893649035094</v>
      </c>
      <c r="L40" s="141">
        <f>L39-'FEB-2014'!L40</f>
        <v>1.7229301413657083E-4</v>
      </c>
      <c r="M40" s="141">
        <f>M39-'FEB-2014'!M40</f>
        <v>7.7941524496645265E-2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68</v>
      </c>
      <c r="B44" s="150"/>
      <c r="C44" s="150"/>
      <c r="D44" s="24"/>
      <c r="E44" s="151">
        <f>E35-'DEC-2013'!$E$38</f>
        <v>4.900126955516896</v>
      </c>
      <c r="F44" s="152">
        <f>E44/'DEC-2013'!$E$38</f>
        <v>2.0796694578318644E-2</v>
      </c>
      <c r="H44" s="6"/>
      <c r="I44" s="6"/>
      <c r="J44" s="6"/>
      <c r="K44" s="6"/>
      <c r="L44" s="6"/>
      <c r="M44" s="6"/>
      <c r="N44" s="86"/>
      <c r="O44" s="86"/>
      <c r="P44" s="91"/>
    </row>
    <row r="45" spans="1:18" x14ac:dyDescent="0.2">
      <c r="A45" s="24" t="s">
        <v>69</v>
      </c>
      <c r="B45" s="150"/>
      <c r="C45" s="150"/>
      <c r="D45" s="24"/>
      <c r="E45" s="153">
        <f>F35-'DEC-2013'!$F$38</f>
        <v>2437</v>
      </c>
      <c r="F45" s="152">
        <f>E45/'DEC-2013'!$F$38</f>
        <v>1.1053156748911466E-2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31"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70</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192" t="s">
        <v>4</v>
      </c>
      <c r="I3" s="192" t="s">
        <v>5</v>
      </c>
      <c r="J3" s="192" t="s">
        <v>6</v>
      </c>
      <c r="K3" s="192" t="s">
        <v>7</v>
      </c>
      <c r="L3" s="117" t="s">
        <v>54</v>
      </c>
      <c r="M3" s="193"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x14ac:dyDescent="0.2">
      <c r="A6" s="69" t="s">
        <v>27</v>
      </c>
      <c r="B6" s="29" t="s">
        <v>10</v>
      </c>
      <c r="C6" s="29" t="s">
        <v>26</v>
      </c>
      <c r="D6" s="30">
        <v>36433</v>
      </c>
      <c r="E6" s="164">
        <v>21.829000000000001</v>
      </c>
      <c r="F6" s="76">
        <v>27182</v>
      </c>
      <c r="G6" s="119">
        <v>1.4765718144908051</v>
      </c>
      <c r="H6" s="160">
        <v>2.7151953286586261</v>
      </c>
      <c r="I6" s="160">
        <v>4.8033902163882924</v>
      </c>
      <c r="J6" s="160">
        <v>3.2416213589988585</v>
      </c>
      <c r="K6" s="160">
        <v>6.3492676099100587</v>
      </c>
      <c r="L6" s="160">
        <v>3.792413814228035</v>
      </c>
      <c r="M6" s="160">
        <v>5.7492123882213919</v>
      </c>
      <c r="N6" s="89">
        <v>5.7634621717426837</v>
      </c>
      <c r="O6" s="89"/>
    </row>
    <row r="7" spans="1:17" s="2" customFormat="1" ht="12.75" customHeight="1" x14ac:dyDescent="0.2">
      <c r="A7" s="70" t="s">
        <v>34</v>
      </c>
      <c r="B7" s="29" t="s">
        <v>10</v>
      </c>
      <c r="C7" s="29" t="s">
        <v>21</v>
      </c>
      <c r="D7" s="32">
        <v>40834</v>
      </c>
      <c r="E7" s="165">
        <v>3.0259999999999998</v>
      </c>
      <c r="F7" s="33">
        <v>2945</v>
      </c>
      <c r="G7" s="120">
        <v>1.81</v>
      </c>
      <c r="H7" s="120">
        <v>-0.36</v>
      </c>
      <c r="I7" s="120">
        <v>3.34</v>
      </c>
      <c r="J7" s="120" t="s">
        <v>71</v>
      </c>
      <c r="K7" s="120" t="s">
        <v>71</v>
      </c>
      <c r="L7" s="120" t="s">
        <v>71</v>
      </c>
      <c r="M7" s="122">
        <v>4.16</v>
      </c>
      <c r="N7" s="90">
        <v>0.63</v>
      </c>
      <c r="O7" s="90"/>
      <c r="P7" s="91"/>
      <c r="Q7" s="91"/>
    </row>
    <row r="8" spans="1:17" s="2" customFormat="1" ht="12.75" customHeight="1" x14ac:dyDescent="0.2">
      <c r="A8" s="70" t="s">
        <v>38</v>
      </c>
      <c r="B8" s="29" t="s">
        <v>10</v>
      </c>
      <c r="C8" s="29" t="s">
        <v>21</v>
      </c>
      <c r="D8" s="32">
        <v>36738</v>
      </c>
      <c r="E8" s="165">
        <v>60.987141000000001</v>
      </c>
      <c r="F8" s="33">
        <v>41207</v>
      </c>
      <c r="G8" s="120">
        <v>0.8</v>
      </c>
      <c r="H8" s="120">
        <v>-0.22</v>
      </c>
      <c r="I8" s="120">
        <v>3.18</v>
      </c>
      <c r="J8" s="120">
        <v>2.4700000000000002</v>
      </c>
      <c r="K8" s="120">
        <v>4.46</v>
      </c>
      <c r="L8" s="120">
        <v>4.32</v>
      </c>
      <c r="M8" s="122">
        <v>4.8600000000000003</v>
      </c>
      <c r="N8" s="92">
        <v>0.15</v>
      </c>
      <c r="O8" s="92"/>
      <c r="P8" s="91"/>
      <c r="Q8" s="91"/>
    </row>
    <row r="9" spans="1:17" ht="12.75" customHeight="1" x14ac:dyDescent="0.2">
      <c r="A9" s="71" t="s">
        <v>13</v>
      </c>
      <c r="B9" s="34" t="s">
        <v>10</v>
      </c>
      <c r="C9" s="34" t="s">
        <v>21</v>
      </c>
      <c r="D9" s="35">
        <v>37816</v>
      </c>
      <c r="E9" s="167">
        <v>15.6425517369976</v>
      </c>
      <c r="F9" s="162">
        <v>22520</v>
      </c>
      <c r="G9" s="121">
        <v>1.7884213786362846</v>
      </c>
      <c r="H9" s="122">
        <v>2.178200499423788</v>
      </c>
      <c r="I9" s="122">
        <v>4.3662202813633533</v>
      </c>
      <c r="J9" s="122">
        <v>3.9176192167581281</v>
      </c>
      <c r="K9" s="122">
        <v>6.2795381055671617</v>
      </c>
      <c r="L9" s="122">
        <v>2.8044048827781998</v>
      </c>
      <c r="M9" s="122">
        <v>2.856361438726629</v>
      </c>
      <c r="N9" s="90">
        <v>3.2864466288687444</v>
      </c>
      <c r="O9" s="90"/>
    </row>
    <row r="10" spans="1:17" s="24" customFormat="1" ht="23.25" customHeight="1" x14ac:dyDescent="0.2">
      <c r="A10" s="51" t="s">
        <v>44</v>
      </c>
      <c r="B10" s="52" t="s">
        <v>10</v>
      </c>
      <c r="C10" s="52"/>
      <c r="D10" s="53"/>
      <c r="E10" s="75">
        <f>SUM(E6:E9)</f>
        <v>101.4846927369976</v>
      </c>
      <c r="F10" s="54">
        <f>SUM(F6:F9)</f>
        <v>93854</v>
      </c>
      <c r="G10" s="123">
        <f>($E$6*G6+$E$7*G7+$E$8*G8+$E$9*G9+$E$34*G34)/($E$10+$E$34)</f>
        <v>1.1644296126501468</v>
      </c>
      <c r="H10" s="123">
        <f>($E$6*H6+$E$7*H7+$E$8*H8+$E$9*H9+$E$34*H34)/($E$10+$E$34)</f>
        <v>1.177999821191847</v>
      </c>
      <c r="I10" s="123">
        <f>($E$6*I6+$E$7*I7+$E$8*I8+$E$9*I9+$E$34*I34)/($E$10+$E$34)</f>
        <v>3.9501065646116351</v>
      </c>
      <c r="J10" s="123">
        <f>($E$6*J6+$E$8*J8+$E$9*J9+$E$34*J34)/($E$6+$E$8+$E$9+$E$34)</f>
        <v>3.0782461383468416</v>
      </c>
      <c r="K10" s="123">
        <f>($E$6*K6+$E$8*K8+$E$9*K9+$E$34*K34)/($E$6+$E$8+$E$9+$E$34)</f>
        <v>5.3908276995467377</v>
      </c>
      <c r="L10" s="123">
        <f>($E$6*L6+$E$8*L8+$E$9*L9+$E$34*L34)/($E$6+$E$8+$E$9+$E$34)</f>
        <v>4.289167161626307</v>
      </c>
      <c r="M10" s="123">
        <f>($E$6*M6+$E$7*M7+$E$8*M8+$E$9*M9+$E$34*M34)/($E$10+$E$34)</f>
        <v>5.6460932699678281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2" t="s">
        <v>28</v>
      </c>
      <c r="B13" s="29" t="s">
        <v>10</v>
      </c>
      <c r="C13" s="29" t="s">
        <v>19</v>
      </c>
      <c r="D13" s="30">
        <v>36606</v>
      </c>
      <c r="E13" s="164">
        <v>7.3140000000000001</v>
      </c>
      <c r="F13" s="76">
        <v>20634</v>
      </c>
      <c r="G13" s="119">
        <v>1.3306228510167228</v>
      </c>
      <c r="H13" s="160">
        <v>3.4604873903507638</v>
      </c>
      <c r="I13" s="160">
        <v>5.8928638356396723</v>
      </c>
      <c r="J13" s="160">
        <v>3.9722532911898423</v>
      </c>
      <c r="K13" s="160">
        <v>5.8633204030408947</v>
      </c>
      <c r="L13" s="160">
        <v>3.6163441111919381</v>
      </c>
      <c r="M13" s="160">
        <v>5.5420646304000343</v>
      </c>
      <c r="N13" s="95">
        <v>5.5552251352753768</v>
      </c>
      <c r="O13" s="95"/>
      <c r="P13" s="96"/>
      <c r="Q13" s="96"/>
    </row>
    <row r="14" spans="1:17" ht="12.75" customHeight="1" x14ac:dyDescent="0.2">
      <c r="A14" s="72" t="s">
        <v>48</v>
      </c>
      <c r="B14" s="29" t="s">
        <v>10</v>
      </c>
      <c r="C14" s="29" t="s">
        <v>19</v>
      </c>
      <c r="D14" s="30">
        <v>39367</v>
      </c>
      <c r="E14" s="166">
        <v>4.6909999999999998</v>
      </c>
      <c r="F14" s="31">
        <v>3979</v>
      </c>
      <c r="G14" s="121">
        <v>0.77081068777938822</v>
      </c>
      <c r="H14" s="122">
        <v>1.9165350904016387</v>
      </c>
      <c r="I14" s="122">
        <v>4.0949508350061059</v>
      </c>
      <c r="J14" s="122">
        <v>2.7286113011403712</v>
      </c>
      <c r="K14" s="122">
        <v>4.5104665200559113</v>
      </c>
      <c r="L14" s="122" t="s">
        <v>71</v>
      </c>
      <c r="M14" s="160">
        <v>3.1048923436132192</v>
      </c>
      <c r="N14" s="95">
        <v>3.1201844405021495</v>
      </c>
      <c r="O14" s="95"/>
      <c r="P14" s="96"/>
      <c r="Q14" s="96"/>
    </row>
    <row r="15" spans="1:17" x14ac:dyDescent="0.2">
      <c r="A15" s="73" t="s">
        <v>30</v>
      </c>
      <c r="B15" s="29" t="s">
        <v>10</v>
      </c>
      <c r="C15" s="29" t="s">
        <v>20</v>
      </c>
      <c r="D15" s="30">
        <v>36091</v>
      </c>
      <c r="E15" s="165">
        <v>0.50956230499999988</v>
      </c>
      <c r="F15" s="33">
        <v>542</v>
      </c>
      <c r="G15" s="120">
        <v>4.943868884492586</v>
      </c>
      <c r="H15" s="120">
        <v>6.5439371607241448</v>
      </c>
      <c r="I15" s="120">
        <v>7.336513302127301</v>
      </c>
      <c r="J15" s="120">
        <v>5.1826091263054375</v>
      </c>
      <c r="K15" s="120">
        <v>5.8520819251500988</v>
      </c>
      <c r="L15" s="120" t="s">
        <v>71</v>
      </c>
      <c r="M15" s="120">
        <v>5.4392322003283144</v>
      </c>
      <c r="N15" s="106">
        <v>7.8392041032631088</v>
      </c>
      <c r="O15" s="106"/>
      <c r="P15" s="96"/>
      <c r="Q15" s="96"/>
    </row>
    <row r="16" spans="1:17" ht="13.5" customHeight="1" x14ac:dyDescent="0.2">
      <c r="A16" s="73" t="s">
        <v>17</v>
      </c>
      <c r="B16" s="29" t="s">
        <v>10</v>
      </c>
      <c r="C16" s="29" t="s">
        <v>24</v>
      </c>
      <c r="D16" s="30">
        <v>4.1063829196259997E-2</v>
      </c>
      <c r="E16" s="165">
        <v>6.3222250000000188E-2</v>
      </c>
      <c r="F16" s="33">
        <v>109</v>
      </c>
      <c r="G16" s="120">
        <v>2.836762762360312</v>
      </c>
      <c r="H16" s="120">
        <v>4.2539223017298067</v>
      </c>
      <c r="I16" s="120">
        <v>5.9478391669600672</v>
      </c>
      <c r="J16" s="120">
        <v>3.6439545774987092</v>
      </c>
      <c r="K16" s="120">
        <v>3.6354637379962584</v>
      </c>
      <c r="L16" s="120" t="s">
        <v>71</v>
      </c>
      <c r="M16" s="120">
        <v>4.4169539414778081</v>
      </c>
      <c r="N16" s="106">
        <v>5.6814068775455695</v>
      </c>
      <c r="O16" s="106"/>
      <c r="P16" s="96"/>
      <c r="Q16" s="96"/>
    </row>
    <row r="17" spans="1:18" ht="12.75" customHeight="1" x14ac:dyDescent="0.2">
      <c r="A17" s="72" t="s">
        <v>35</v>
      </c>
      <c r="B17" s="29" t="s">
        <v>10</v>
      </c>
      <c r="C17" s="29" t="s">
        <v>19</v>
      </c>
      <c r="D17" s="30">
        <v>39514</v>
      </c>
      <c r="E17" s="165">
        <v>0.63733322999999953</v>
      </c>
      <c r="F17" s="33">
        <v>1782</v>
      </c>
      <c r="G17" s="120">
        <v>2.4023731863403786</v>
      </c>
      <c r="H17" s="120">
        <v>4.6594243391905099</v>
      </c>
      <c r="I17" s="120">
        <v>5.3285651036018233</v>
      </c>
      <c r="J17" s="120">
        <v>3.7910818138821023</v>
      </c>
      <c r="K17" s="120">
        <v>4.9720917089323136</v>
      </c>
      <c r="L17" s="120" t="s">
        <v>71</v>
      </c>
      <c r="M17" s="120">
        <v>5.3411182991311534</v>
      </c>
      <c r="N17" s="106">
        <v>6.0915101186053144</v>
      </c>
      <c r="O17" s="106"/>
      <c r="P17" s="96"/>
      <c r="Q17" s="96"/>
    </row>
    <row r="18" spans="1:18" x14ac:dyDescent="0.2">
      <c r="A18" s="70" t="s">
        <v>57</v>
      </c>
      <c r="B18" s="148" t="s">
        <v>10</v>
      </c>
      <c r="C18" s="148" t="s">
        <v>20</v>
      </c>
      <c r="D18" s="36">
        <v>38360</v>
      </c>
      <c r="E18" s="165">
        <v>0.27200000000000002</v>
      </c>
      <c r="F18" s="33">
        <v>1655</v>
      </c>
      <c r="G18" s="120">
        <v>-0.10390000000000121</v>
      </c>
      <c r="H18" s="120">
        <v>-0.83078926373615358</v>
      </c>
      <c r="I18" s="120">
        <v>0.84040041856747738</v>
      </c>
      <c r="J18" s="120">
        <v>0.92015687439460281</v>
      </c>
      <c r="K18" s="120">
        <v>2.3698227376944514</v>
      </c>
      <c r="L18" s="120" t="s">
        <v>71</v>
      </c>
      <c r="M18" s="120">
        <v>1.7575484946728968</v>
      </c>
      <c r="N18" s="106">
        <v>0.66238909206726149</v>
      </c>
      <c r="O18" s="106"/>
      <c r="P18" s="96"/>
      <c r="Q18" s="96"/>
    </row>
    <row r="19" spans="1:18" x14ac:dyDescent="0.2">
      <c r="A19" s="70" t="s">
        <v>56</v>
      </c>
      <c r="B19" s="12" t="s">
        <v>10</v>
      </c>
      <c r="C19" s="12" t="s">
        <v>19</v>
      </c>
      <c r="D19" s="36">
        <v>39182</v>
      </c>
      <c r="E19" s="165">
        <v>3.9E-2</v>
      </c>
      <c r="F19" s="33">
        <v>220</v>
      </c>
      <c r="G19" s="120">
        <v>-7.8699999999998216E-2</v>
      </c>
      <c r="H19" s="120">
        <v>-0.24419631992292912</v>
      </c>
      <c r="I19" s="120">
        <v>1.297822916667124</v>
      </c>
      <c r="J19" s="120">
        <v>0.64115152705082057</v>
      </c>
      <c r="K19" s="120">
        <v>0.25236171167072102</v>
      </c>
      <c r="L19" s="120" t="s">
        <v>71</v>
      </c>
      <c r="M19" s="120">
        <v>0.3536896404251047</v>
      </c>
      <c r="N19" s="106">
        <v>1.6466871527138993</v>
      </c>
      <c r="O19" s="106"/>
      <c r="P19" s="96"/>
      <c r="Q19" s="96"/>
    </row>
    <row r="20" spans="1:18" ht="12.75" customHeight="1" x14ac:dyDescent="0.2">
      <c r="A20" s="70" t="s">
        <v>14</v>
      </c>
      <c r="B20" s="12" t="s">
        <v>10</v>
      </c>
      <c r="C20" s="12" t="s">
        <v>22</v>
      </c>
      <c r="D20" s="32">
        <v>40834</v>
      </c>
      <c r="E20" s="165">
        <v>1.97</v>
      </c>
      <c r="F20" s="33">
        <v>2318</v>
      </c>
      <c r="G20" s="120">
        <v>1.24</v>
      </c>
      <c r="H20" s="120">
        <v>2.5099999999999998</v>
      </c>
      <c r="I20" s="120">
        <v>4.53</v>
      </c>
      <c r="J20" s="120" t="s">
        <v>71</v>
      </c>
      <c r="K20" s="120" t="s">
        <v>71</v>
      </c>
      <c r="L20" s="120" t="s">
        <v>71</v>
      </c>
      <c r="M20" s="122">
        <v>4.88</v>
      </c>
      <c r="N20" s="107">
        <v>3.52</v>
      </c>
      <c r="O20" s="107"/>
      <c r="P20" s="96"/>
      <c r="Q20" s="96"/>
    </row>
    <row r="21" spans="1:18" x14ac:dyDescent="0.2">
      <c r="A21" s="70" t="s">
        <v>39</v>
      </c>
      <c r="B21" s="29" t="s">
        <v>10</v>
      </c>
      <c r="C21" s="29" t="s">
        <v>19</v>
      </c>
      <c r="D21" s="32">
        <v>38245</v>
      </c>
      <c r="E21" s="165">
        <v>30.265865999999999</v>
      </c>
      <c r="F21" s="33">
        <v>35173</v>
      </c>
      <c r="G21" s="120">
        <v>0.41</v>
      </c>
      <c r="H21" s="120">
        <v>0.77</v>
      </c>
      <c r="I21" s="120">
        <v>4.16</v>
      </c>
      <c r="J21" s="120">
        <v>2.66</v>
      </c>
      <c r="K21" s="120">
        <v>4.6900000000000004</v>
      </c>
      <c r="L21" s="120" t="s">
        <v>72</v>
      </c>
      <c r="M21" s="122">
        <v>5.0199999999999996</v>
      </c>
      <c r="N21" s="93">
        <v>1.1399999999999999</v>
      </c>
      <c r="O21" s="93"/>
      <c r="P21" s="96"/>
      <c r="Q21" s="96"/>
    </row>
    <row r="22" spans="1:18" ht="12.75" customHeight="1" x14ac:dyDescent="0.2">
      <c r="A22" s="72" t="s">
        <v>15</v>
      </c>
      <c r="B22" s="29" t="s">
        <v>10</v>
      </c>
      <c r="C22" s="29" t="s">
        <v>23</v>
      </c>
      <c r="D22" s="30">
        <v>37834</v>
      </c>
      <c r="E22" s="166">
        <v>28.747364266269699</v>
      </c>
      <c r="F22" s="31">
        <v>35959</v>
      </c>
      <c r="G22" s="170">
        <v>1.155026785843738</v>
      </c>
      <c r="H22" s="122">
        <v>2.3099843474404524</v>
      </c>
      <c r="I22" s="122">
        <v>6.1987122956741247</v>
      </c>
      <c r="J22" s="122">
        <v>4.4121265462901071</v>
      </c>
      <c r="K22" s="122">
        <v>7.3396819700390026</v>
      </c>
      <c r="L22" s="122">
        <v>3.5932492333455635</v>
      </c>
      <c r="M22" s="122">
        <v>3.5484862022694186</v>
      </c>
      <c r="N22" s="107">
        <v>3.774047970054939</v>
      </c>
      <c r="O22" s="107"/>
      <c r="P22" s="96"/>
      <c r="Q22" s="96"/>
    </row>
    <row r="23" spans="1:18" ht="12.75" customHeight="1" x14ac:dyDescent="0.2">
      <c r="A23" s="73" t="s">
        <v>36</v>
      </c>
      <c r="B23" s="29" t="s">
        <v>10</v>
      </c>
      <c r="C23" s="29" t="s">
        <v>32</v>
      </c>
      <c r="D23" s="30">
        <v>39078</v>
      </c>
      <c r="E23" s="166">
        <v>7.9969756993194796</v>
      </c>
      <c r="F23" s="163">
        <v>13919</v>
      </c>
      <c r="G23" s="169">
        <v>-0.23276078066942762</v>
      </c>
      <c r="H23" s="13">
        <v>3.08174879346792</v>
      </c>
      <c r="I23" s="13">
        <v>7.5843497921499026</v>
      </c>
      <c r="J23" s="13">
        <v>3.2306665855991623</v>
      </c>
      <c r="K23" s="13">
        <v>9.601088918399947</v>
      </c>
      <c r="L23" s="120" t="s">
        <v>71</v>
      </c>
      <c r="M23" s="13">
        <v>-1.8731847758429176</v>
      </c>
      <c r="N23" s="149">
        <v>4.9012807077906118</v>
      </c>
      <c r="O23" s="107"/>
      <c r="P23" s="96"/>
      <c r="Q23" s="96"/>
    </row>
    <row r="24" spans="1:18" ht="12.75" customHeight="1" x14ac:dyDescent="0.2">
      <c r="A24" s="40" t="s">
        <v>43</v>
      </c>
      <c r="B24" s="41" t="s">
        <v>10</v>
      </c>
      <c r="C24" s="41"/>
      <c r="D24" s="42"/>
      <c r="E24" s="80">
        <f>SUM(E13:E23)</f>
        <v>82.506323750589175</v>
      </c>
      <c r="F24" s="43">
        <f>SUM(F13:F23)</f>
        <v>116290</v>
      </c>
      <c r="G24" s="124">
        <f t="shared" ref="G24:I24" si="0">($E$13*G13+$E$14*G14+$E$15*G15+$E$16*G16+$E$17*G17+$E$18*G18+$E$19*G19+$E$20*G20+$E$21*G21+$E$22*G22+$E$23*G23)/$E$24</f>
        <v>0.77255635672293521</v>
      </c>
      <c r="H24" s="124">
        <f t="shared" si="0"/>
        <v>1.938495208610449</v>
      </c>
      <c r="I24" s="124">
        <f t="shared" si="0"/>
        <v>5.3787167600742407</v>
      </c>
      <c r="J24" s="124">
        <f>($E$13*J13+$E$14*J14+$E$15*J15+$E$16*J16+$E$17*J17+$E$18*J18+$E$19*J19+$E$21*J21+$E$22*J22+$E$23*J23)/($E$24-$E$20)</f>
        <v>3.4840858028698749</v>
      </c>
      <c r="K24" s="124">
        <f>($E$13*K13+$E$14*K14+$E$15*K15+$E$16*K16+$E$17*K17+$E$18*K18+$E$19*K19+$E$21*K21+$E$22*K22+$E$23*K23)/($E$24-$E$20)</f>
        <v>6.2183267594300737</v>
      </c>
      <c r="L24" s="124">
        <f>($E$13*L13+$E$22*L22)/($E$13+$E$22)</f>
        <v>3.5979333583088109</v>
      </c>
      <c r="M24" s="124">
        <f>($E$13*M13+$E$14*M14+$E$15*M15+$E$16*M16+$E$17*M17+$E$18*M18+$E$19*M19+$E$20*M20+$E$21*M21+$E$22*M22+$E$23*M23)/$E$24</f>
        <v>3.7648576852731033</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0.89800000000000002</v>
      </c>
      <c r="F26" s="76">
        <v>705</v>
      </c>
      <c r="G26" s="119">
        <v>0.52350665466723034</v>
      </c>
      <c r="H26" s="122">
        <v>-0.42440036962632099</v>
      </c>
      <c r="I26" s="122">
        <v>3.2104041296883379</v>
      </c>
      <c r="J26" s="122">
        <v>2.0581797244284328</v>
      </c>
      <c r="K26" s="122">
        <v>4.3248063626937228</v>
      </c>
      <c r="L26" s="122" t="s">
        <v>71</v>
      </c>
      <c r="M26" s="160">
        <v>4.7551777486180002</v>
      </c>
      <c r="N26" s="95">
        <v>4.7860732843327591</v>
      </c>
      <c r="O26" s="95"/>
      <c r="P26" s="96"/>
      <c r="Q26" s="96"/>
    </row>
    <row r="27" spans="1:18" ht="12.75" customHeight="1" x14ac:dyDescent="0.2">
      <c r="A27" s="72" t="s">
        <v>16</v>
      </c>
      <c r="B27" s="29" t="s">
        <v>11</v>
      </c>
      <c r="C27" s="29" t="s">
        <v>23</v>
      </c>
      <c r="D27" s="30">
        <v>37816</v>
      </c>
      <c r="E27" s="166">
        <v>1.5843928504497899</v>
      </c>
      <c r="F27" s="31">
        <v>1492</v>
      </c>
      <c r="G27" s="121">
        <v>2.2559520955947931</v>
      </c>
      <c r="H27" s="122">
        <v>2.8749513702277074</v>
      </c>
      <c r="I27" s="122">
        <v>3.8406411653136185</v>
      </c>
      <c r="J27" s="122">
        <v>1.9150630381620903</v>
      </c>
      <c r="K27" s="122">
        <v>5.175982308101057</v>
      </c>
      <c r="L27" s="122">
        <v>2.3421686031676048</v>
      </c>
      <c r="M27" s="122">
        <v>2.2114376471673358</v>
      </c>
      <c r="N27" s="107">
        <v>4.0112489838934229</v>
      </c>
      <c r="O27" s="107"/>
      <c r="P27" s="96"/>
      <c r="Q27" s="96"/>
    </row>
    <row r="28" spans="1:18" ht="12.75" customHeight="1" x14ac:dyDescent="0.2">
      <c r="A28" s="40" t="s">
        <v>43</v>
      </c>
      <c r="B28" s="41" t="s">
        <v>11</v>
      </c>
      <c r="C28" s="45"/>
      <c r="D28" s="46"/>
      <c r="E28" s="82">
        <f>SUM(E26:E27)</f>
        <v>2.4823928504497901</v>
      </c>
      <c r="F28" s="44">
        <f>SUM(F26:F27)</f>
        <v>2197</v>
      </c>
      <c r="G28" s="124">
        <f>($E$26*G26+$E$27*G27)/$E$28</f>
        <v>1.6292438750683507</v>
      </c>
      <c r="H28" s="124">
        <f>($E$26*H26+$E$27*H27)/$E$28</f>
        <v>1.6814183394457027</v>
      </c>
      <c r="I28" s="124">
        <f>($E$26*I26+$E$27*I27)/$E$28</f>
        <v>3.6126543428858326</v>
      </c>
      <c r="J28" s="124">
        <f>($E$26*J26+$E$27*J27)/$E$28</f>
        <v>1.9668351757767668</v>
      </c>
      <c r="K28" s="124">
        <f>($E$26*K26+$E$27*K27)/$E$28</f>
        <v>4.8680713346879276</v>
      </c>
      <c r="L28" s="124">
        <f>L27</f>
        <v>2.3421686031676048</v>
      </c>
      <c r="M28" s="124">
        <f>($E$26*M26+$E$27*M27)/$E$28</f>
        <v>3.1316298764870436</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84.988716601038959</v>
      </c>
      <c r="F30" s="44">
        <f>F28+F24</f>
        <v>118487</v>
      </c>
      <c r="G30" s="132">
        <f t="shared" ref="G30:M30" si="1">($E$24*G24+$E$28*G28)/$E$30</f>
        <v>0.79757891331233821</v>
      </c>
      <c r="H30" s="132">
        <f t="shared" si="1"/>
        <v>1.9309863791145725</v>
      </c>
      <c r="I30" s="132">
        <f t="shared" si="1"/>
        <v>5.3271327275907687</v>
      </c>
      <c r="J30" s="132">
        <f t="shared" si="1"/>
        <v>3.4397691893279037</v>
      </c>
      <c r="K30" s="132">
        <f t="shared" si="1"/>
        <v>6.1788878251019375</v>
      </c>
      <c r="L30" s="132">
        <f t="shared" si="1"/>
        <v>3.5612543546165578</v>
      </c>
      <c r="M30" s="132">
        <f t="shared" si="1"/>
        <v>3.7463620514042506</v>
      </c>
      <c r="N30" s="95"/>
      <c r="O30" s="95"/>
      <c r="P30" s="96"/>
      <c r="Q30" s="96"/>
      <c r="R30" s="25"/>
    </row>
    <row r="31" spans="1:18" s="24" customFormat="1" ht="26.25" customHeight="1" x14ac:dyDescent="0.2">
      <c r="A31" s="228" t="s">
        <v>46</v>
      </c>
      <c r="B31" s="228"/>
      <c r="C31" s="228"/>
      <c r="D31" s="228"/>
      <c r="E31" s="84">
        <f>SUM(E10,E30)</f>
        <v>186.47340933803656</v>
      </c>
      <c r="F31" s="63">
        <f>SUM(F10, F30)</f>
        <v>212341</v>
      </c>
      <c r="G31" s="191"/>
      <c r="H31" s="229"/>
      <c r="I31" s="230"/>
      <c r="J31" s="230"/>
      <c r="K31" s="230"/>
      <c r="L31" s="230"/>
      <c r="M31" s="231"/>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56.389000000000003</v>
      </c>
      <c r="F34" s="27">
        <v>12178</v>
      </c>
      <c r="G34" s="136">
        <v>1.23</v>
      </c>
      <c r="H34" s="136">
        <v>1.9</v>
      </c>
      <c r="I34" s="136">
        <v>4.37</v>
      </c>
      <c r="J34" s="136">
        <v>3.44</v>
      </c>
      <c r="K34" s="136">
        <v>5.78</v>
      </c>
      <c r="L34" s="136">
        <v>4.8600000000000003</v>
      </c>
      <c r="M34" s="137">
        <v>7.31</v>
      </c>
      <c r="N34" s="106">
        <v>2.48</v>
      </c>
      <c r="O34" s="106"/>
      <c r="P34" s="96"/>
      <c r="Q34" s="96"/>
    </row>
    <row r="35" spans="1:18" ht="31.5" customHeight="1" x14ac:dyDescent="0.2">
      <c r="A35" s="232" t="s">
        <v>33</v>
      </c>
      <c r="B35" s="233"/>
      <c r="C35" s="233"/>
      <c r="D35" s="234"/>
      <c r="E35" s="115">
        <f>E31+E34</f>
        <v>242.86240933803657</v>
      </c>
      <c r="F35" s="116">
        <f>F31+F34</f>
        <v>224519</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5" t="s">
        <v>81</v>
      </c>
      <c r="B36" s="236"/>
      <c r="C36" s="236"/>
      <c r="D36" s="236"/>
      <c r="E36" s="236"/>
      <c r="F36" s="236"/>
      <c r="G36" s="236"/>
      <c r="H36" s="236"/>
      <c r="I36" s="236"/>
      <c r="J36" s="236"/>
      <c r="K36" s="236"/>
      <c r="L36" s="236"/>
      <c r="M36" s="237"/>
      <c r="N36" s="15"/>
      <c r="O36" s="15"/>
    </row>
    <row r="37" spans="1:18" s="4" customFormat="1" ht="24" customHeight="1" x14ac:dyDescent="0.2">
      <c r="A37" s="238" t="s">
        <v>31</v>
      </c>
      <c r="B37" s="239"/>
      <c r="C37" s="239"/>
      <c r="D37" s="239"/>
      <c r="E37" s="239"/>
      <c r="F37" s="239"/>
      <c r="G37" s="239"/>
      <c r="H37" s="239"/>
      <c r="I37" s="239"/>
      <c r="J37" s="239"/>
      <c r="K37" s="239"/>
      <c r="L37" s="239"/>
      <c r="M37" s="240"/>
      <c r="N37" s="19"/>
      <c r="O37" s="19"/>
      <c r="P37" s="98"/>
      <c r="Q37" s="98"/>
    </row>
    <row r="38" spans="1:18" s="4" customFormat="1" ht="24" customHeight="1" x14ac:dyDescent="0.2">
      <c r="A38" s="188" t="s">
        <v>55</v>
      </c>
      <c r="B38" s="189"/>
      <c r="C38" s="189"/>
      <c r="D38" s="189"/>
      <c r="E38" s="189"/>
      <c r="F38" s="189"/>
      <c r="G38" s="189"/>
      <c r="H38" s="189"/>
      <c r="I38" s="189"/>
      <c r="J38" s="189"/>
      <c r="K38" s="189"/>
      <c r="L38" s="189"/>
      <c r="M38" s="190"/>
      <c r="N38" s="19"/>
      <c r="O38" s="19"/>
      <c r="P38" s="98"/>
      <c r="Q38" s="98"/>
    </row>
    <row r="39" spans="1:18" ht="22.5" customHeight="1" x14ac:dyDescent="0.2">
      <c r="B39" s="11"/>
      <c r="C39" s="11"/>
      <c r="D39" s="11"/>
      <c r="E39" s="241" t="s">
        <v>52</v>
      </c>
      <c r="F39" s="242"/>
      <c r="G39" s="140">
        <f>($E$10*G10+$E$24*G24+$E$28*G28+$E$34*G34)/$E$35</f>
        <v>1.0512761541814337</v>
      </c>
      <c r="H39" s="140">
        <f>($E$10*H10+$E$24*H24+$E$28*H28+$E$34*H34)/$E$35</f>
        <v>1.6091420038948006</v>
      </c>
      <c r="I39" s="140">
        <f t="shared" ref="I39:M39" si="2">($E$10*I10+$E$24*I24+$E$28*I28+$E$34*I34)/$E$35</f>
        <v>4.5294842362294494</v>
      </c>
      <c r="J39" s="140">
        <f t="shared" si="2"/>
        <v>3.2887534736264366</v>
      </c>
      <c r="K39" s="140">
        <f t="shared" si="2"/>
        <v>5.7569661059309096</v>
      </c>
      <c r="L39" s="140">
        <f t="shared" si="2"/>
        <v>4.1669758252929059</v>
      </c>
      <c r="M39" s="140">
        <f t="shared" si="2"/>
        <v>5.3676241493772912</v>
      </c>
      <c r="N39" s="16"/>
      <c r="O39" s="16"/>
    </row>
    <row r="40" spans="1:18" ht="16.5" customHeight="1" x14ac:dyDescent="0.2">
      <c r="B40" s="10"/>
      <c r="C40" s="10"/>
      <c r="D40" s="10"/>
      <c r="E40" s="20"/>
      <c r="F40" s="77" t="s">
        <v>51</v>
      </c>
      <c r="G40" s="141"/>
      <c r="H40" s="141">
        <f>H39-'MAR-2014'!H39</f>
        <v>-0.37054243600137848</v>
      </c>
      <c r="I40" s="141">
        <f>I39-'MAR-2014'!I39</f>
        <v>0.12061549135063299</v>
      </c>
      <c r="J40" s="141">
        <f>J39-'MAR-2014'!J39</f>
        <v>-6.6353400295375842E-3</v>
      </c>
      <c r="K40" s="141">
        <f>K39-'MAR-2014'!K39</f>
        <v>-0.43436485920915935</v>
      </c>
      <c r="L40" s="141">
        <f>L39-'MAR-2014'!L39</f>
        <v>2.3019933875819021E-2</v>
      </c>
      <c r="M40" s="141">
        <f>M39-'MAR-2014'!M39</f>
        <v>-6.9813342083975272E-3</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73</v>
      </c>
      <c r="B44" s="150"/>
      <c r="C44" s="150"/>
      <c r="D44" s="24"/>
      <c r="E44" s="151">
        <f>E35-'DEC-2013'!$E$38</f>
        <v>7.2419391203574719</v>
      </c>
      <c r="F44" s="152">
        <f>E44/'DEC-2013'!$E$38</f>
        <v>3.0735611017442464E-2</v>
      </c>
      <c r="H44" s="6"/>
      <c r="I44" s="6"/>
      <c r="J44" s="6"/>
      <c r="K44" s="6"/>
      <c r="L44" s="6"/>
      <c r="M44" s="6"/>
      <c r="N44" s="86"/>
      <c r="O44" s="86"/>
      <c r="P44" s="91"/>
    </row>
    <row r="45" spans="1:18" x14ac:dyDescent="0.2">
      <c r="A45" s="24" t="s">
        <v>74</v>
      </c>
      <c r="B45" s="150"/>
      <c r="C45" s="150"/>
      <c r="D45" s="24"/>
      <c r="E45" s="153">
        <f>F35-'DEC-2013'!$F$38</f>
        <v>4039</v>
      </c>
      <c r="F45" s="152">
        <f>E45/'DEC-2013'!$F$38</f>
        <v>1.8319121915820028E-2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4"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75</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194" t="s">
        <v>4</v>
      </c>
      <c r="I3" s="194" t="s">
        <v>5</v>
      </c>
      <c r="J3" s="194" t="s">
        <v>6</v>
      </c>
      <c r="K3" s="194" t="s">
        <v>7</v>
      </c>
      <c r="L3" s="117" t="s">
        <v>54</v>
      </c>
      <c r="M3" s="195"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x14ac:dyDescent="0.2">
      <c r="A6" s="69" t="s">
        <v>27</v>
      </c>
      <c r="B6" s="29" t="s">
        <v>10</v>
      </c>
      <c r="C6" s="29" t="s">
        <v>26</v>
      </c>
      <c r="D6" s="30">
        <v>36433</v>
      </c>
      <c r="E6" s="164">
        <v>21.87</v>
      </c>
      <c r="F6" s="76">
        <v>27142</v>
      </c>
      <c r="G6" s="119">
        <v>3.0805827688219294</v>
      </c>
      <c r="H6" s="160">
        <v>4.1939879615486841</v>
      </c>
      <c r="I6" s="160">
        <v>6.0177224246768413</v>
      </c>
      <c r="J6" s="160">
        <v>3.7205673060487054</v>
      </c>
      <c r="K6" s="160">
        <v>6.3861967204565495</v>
      </c>
      <c r="L6" s="160">
        <v>3.9311247792710446</v>
      </c>
      <c r="M6" s="160">
        <v>5.8277758640874255</v>
      </c>
      <c r="N6" s="89">
        <v>5.7492123882213919</v>
      </c>
      <c r="O6" s="89"/>
    </row>
    <row r="7" spans="1:17" s="2" customFormat="1" ht="12.75" customHeight="1" x14ac:dyDescent="0.2">
      <c r="A7" s="70" t="s">
        <v>34</v>
      </c>
      <c r="B7" s="29" t="s">
        <v>10</v>
      </c>
      <c r="C7" s="29" t="s">
        <v>21</v>
      </c>
      <c r="D7" s="32">
        <v>40834</v>
      </c>
      <c r="E7" s="165">
        <v>3.15</v>
      </c>
      <c r="F7" s="33">
        <v>3049</v>
      </c>
      <c r="G7" s="120">
        <v>3.08</v>
      </c>
      <c r="H7" s="120">
        <v>1.28</v>
      </c>
      <c r="I7" s="120">
        <v>4.1500000000000004</v>
      </c>
      <c r="J7" s="120" t="s">
        <v>71</v>
      </c>
      <c r="K7" s="120" t="s">
        <v>71</v>
      </c>
      <c r="L7" s="120" t="s">
        <v>71</v>
      </c>
      <c r="M7" s="122">
        <v>4.51</v>
      </c>
      <c r="N7" s="90">
        <v>2.29</v>
      </c>
      <c r="O7" s="90"/>
      <c r="P7" s="91"/>
      <c r="Q7" s="91"/>
    </row>
    <row r="8" spans="1:17" s="2" customFormat="1" ht="12.75" customHeight="1" x14ac:dyDescent="0.2">
      <c r="A8" s="70" t="s">
        <v>38</v>
      </c>
      <c r="B8" s="29" t="s">
        <v>10</v>
      </c>
      <c r="C8" s="29" t="s">
        <v>21</v>
      </c>
      <c r="D8" s="32">
        <v>36738</v>
      </c>
      <c r="E8" s="165">
        <v>62.302605</v>
      </c>
      <c r="F8" s="33">
        <v>41307</v>
      </c>
      <c r="G8" s="120">
        <v>2.5299999999999998</v>
      </c>
      <c r="H8" s="120">
        <v>1.78</v>
      </c>
      <c r="I8" s="120">
        <v>4.46</v>
      </c>
      <c r="J8" s="120">
        <v>2.99</v>
      </c>
      <c r="K8" s="120">
        <v>4.57</v>
      </c>
      <c r="L8" s="120">
        <v>4.4400000000000004</v>
      </c>
      <c r="M8" s="122">
        <v>4.96</v>
      </c>
      <c r="N8" s="92">
        <v>2.2400000000000002</v>
      </c>
      <c r="O8" s="92"/>
      <c r="P8" s="91"/>
      <c r="Q8" s="91"/>
    </row>
    <row r="9" spans="1:17" ht="12.75" customHeight="1" x14ac:dyDescent="0.2">
      <c r="A9" s="71" t="s">
        <v>13</v>
      </c>
      <c r="B9" s="34" t="s">
        <v>10</v>
      </c>
      <c r="C9" s="34" t="s">
        <v>21</v>
      </c>
      <c r="D9" s="35">
        <v>37816</v>
      </c>
      <c r="E9" s="167">
        <v>16.200393889157699</v>
      </c>
      <c r="F9" s="162">
        <v>22877</v>
      </c>
      <c r="G9" s="121">
        <v>2.9856230638539261</v>
      </c>
      <c r="H9" s="122">
        <v>3.5640099175795026</v>
      </c>
      <c r="I9" s="122">
        <v>5.3818897600628413</v>
      </c>
      <c r="J9" s="122">
        <v>4.2117219245942028</v>
      </c>
      <c r="K9" s="122">
        <v>6.1854568044019009</v>
      </c>
      <c r="L9" s="122">
        <v>2.9060484267430464</v>
      </c>
      <c r="M9" s="122">
        <v>2.9442446898930275</v>
      </c>
      <c r="N9" s="90">
        <v>4.6684968949619154</v>
      </c>
      <c r="O9" s="90"/>
    </row>
    <row r="10" spans="1:17" s="24" customFormat="1" ht="23.25" customHeight="1" x14ac:dyDescent="0.2">
      <c r="A10" s="51" t="s">
        <v>44</v>
      </c>
      <c r="B10" s="52" t="s">
        <v>10</v>
      </c>
      <c r="C10" s="52"/>
      <c r="D10" s="53"/>
      <c r="E10" s="75">
        <f>SUM(E6:E9)</f>
        <v>103.52299888915769</v>
      </c>
      <c r="F10" s="54">
        <f>SUM(F6:F9)</f>
        <v>94375</v>
      </c>
      <c r="G10" s="123">
        <f>($E$6*G6+$E$7*G7+$E$8*G8+$E$9*G9+$E$34*G34)/($E$10+$E$34)</f>
        <v>2.5338561987073169</v>
      </c>
      <c r="H10" s="123">
        <f>($E$6*H6+$E$7*H7+$E$8*H8+$E$9*H9+$E$34*H34)/($E$10+$E$34)</f>
        <v>2.7266205455514991</v>
      </c>
      <c r="I10" s="123">
        <f>($E$6*I6+$E$7*I7+$E$8*I8+$E$9*I9+$E$34*I34)/($E$10+$E$34)</f>
        <v>4.9580507029236234</v>
      </c>
      <c r="J10" s="123">
        <f>($E$6*J6+$E$8*J8+$E$9*J9+$E$34*J34)/($E$6+$E$8+$E$9+$E$34)</f>
        <v>3.4563976819709774</v>
      </c>
      <c r="K10" s="123">
        <f>($E$6*K6+$E$8*K8+$E$9*K9+$E$34*K34)/($E$6+$E$8+$E$9+$E$34)</f>
        <v>5.3944378925683756</v>
      </c>
      <c r="L10" s="123">
        <f>($E$6*L6+$E$8*L8+$E$9*L9+$E$34*L34)/($E$6+$E$8+$E$9+$E$34)</f>
        <v>4.4143669311480185</v>
      </c>
      <c r="M10" s="123">
        <f>($E$6*M6+$E$7*M7+$E$8*M8+$E$9*M9+$E$34*M34)/($E$10+$E$34)</f>
        <v>5.7328368157728411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2" t="s">
        <v>28</v>
      </c>
      <c r="B13" s="29" t="s">
        <v>10</v>
      </c>
      <c r="C13" s="29" t="s">
        <v>19</v>
      </c>
      <c r="D13" s="30">
        <v>36606</v>
      </c>
      <c r="E13" s="164">
        <v>7.4669999999999996</v>
      </c>
      <c r="F13" s="76">
        <v>20606</v>
      </c>
      <c r="G13" s="119">
        <v>3.0819334475786593</v>
      </c>
      <c r="H13" s="160">
        <v>4.7371087660221578</v>
      </c>
      <c r="I13" s="160">
        <v>7.2950274067805188</v>
      </c>
      <c r="J13" s="160">
        <v>4.4375030476922817</v>
      </c>
      <c r="K13" s="160">
        <v>6.0454519291703646</v>
      </c>
      <c r="L13" s="160">
        <v>3.7654764548742392</v>
      </c>
      <c r="M13" s="160">
        <v>5.632174396282541</v>
      </c>
      <c r="N13" s="95">
        <v>5.5420646304000343</v>
      </c>
      <c r="O13" s="95"/>
      <c r="P13" s="96"/>
      <c r="Q13" s="96"/>
    </row>
    <row r="14" spans="1:17" ht="12.75" customHeight="1" x14ac:dyDescent="0.2">
      <c r="A14" s="72" t="s">
        <v>48</v>
      </c>
      <c r="B14" s="29" t="s">
        <v>10</v>
      </c>
      <c r="C14" s="29" t="s">
        <v>19</v>
      </c>
      <c r="D14" s="30">
        <v>39367</v>
      </c>
      <c r="E14" s="166">
        <v>4.7050000000000001</v>
      </c>
      <c r="F14" s="31">
        <v>3955</v>
      </c>
      <c r="G14" s="121">
        <v>2.3414435342599993</v>
      </c>
      <c r="H14" s="122">
        <v>3.586701996356001</v>
      </c>
      <c r="I14" s="122">
        <v>5.3842080927843261</v>
      </c>
      <c r="J14" s="122">
        <v>3.2694815425035939</v>
      </c>
      <c r="K14" s="122">
        <v>4.7409984288870222</v>
      </c>
      <c r="L14" s="122" t="s">
        <v>71</v>
      </c>
      <c r="M14" s="160">
        <v>3.3044705807085073</v>
      </c>
      <c r="N14" s="95">
        <v>3.1048923436132192</v>
      </c>
      <c r="O14" s="95"/>
      <c r="P14" s="96"/>
      <c r="Q14" s="96"/>
    </row>
    <row r="15" spans="1:17" x14ac:dyDescent="0.2">
      <c r="A15" s="73" t="s">
        <v>30</v>
      </c>
      <c r="B15" s="29" t="s">
        <v>10</v>
      </c>
      <c r="C15" s="29" t="s">
        <v>20</v>
      </c>
      <c r="D15" s="30">
        <v>36091</v>
      </c>
      <c r="E15" s="165">
        <v>0.51449798499999988</v>
      </c>
      <c r="F15" s="33">
        <v>541</v>
      </c>
      <c r="G15" s="120">
        <v>6.150827521889024</v>
      </c>
      <c r="H15" s="120">
        <v>7.1971193523851174</v>
      </c>
      <c r="I15" s="120">
        <v>7.5901998428142603</v>
      </c>
      <c r="J15" s="120">
        <v>5.378866998671028</v>
      </c>
      <c r="K15" s="120">
        <v>5.9437062174238386</v>
      </c>
      <c r="L15" s="120" t="s">
        <v>71</v>
      </c>
      <c r="M15" s="120">
        <v>5.562845778690062</v>
      </c>
      <c r="N15" s="106">
        <v>8.5002675993285592</v>
      </c>
      <c r="O15" s="106"/>
      <c r="P15" s="96"/>
      <c r="Q15" s="96"/>
    </row>
    <row r="16" spans="1:17" ht="13.5" customHeight="1" x14ac:dyDescent="0.2">
      <c r="A16" s="73" t="s">
        <v>17</v>
      </c>
      <c r="B16" s="29" t="s">
        <v>10</v>
      </c>
      <c r="C16" s="29" t="s">
        <v>24</v>
      </c>
      <c r="D16" s="30">
        <v>4.1063829196259997E-2</v>
      </c>
      <c r="E16" s="165">
        <v>6.3502320000000181E-2</v>
      </c>
      <c r="F16" s="33">
        <v>108</v>
      </c>
      <c r="G16" s="120">
        <v>3.7305532252048801</v>
      </c>
      <c r="H16" s="120">
        <v>5.2156236137758327</v>
      </c>
      <c r="I16" s="120">
        <v>6.8643289579470856</v>
      </c>
      <c r="J16" s="120">
        <v>3.9153287397012182</v>
      </c>
      <c r="K16" s="120">
        <v>3.6633430814304369</v>
      </c>
      <c r="L16" s="120" t="s">
        <v>71</v>
      </c>
      <c r="M16" s="120">
        <v>4.5048711957850429</v>
      </c>
      <c r="N16" s="106">
        <v>6.8181787881934408</v>
      </c>
      <c r="O16" s="106"/>
      <c r="P16" s="96"/>
      <c r="Q16" s="96"/>
    </row>
    <row r="17" spans="1:18" ht="12.75" customHeight="1" x14ac:dyDescent="0.2">
      <c r="A17" s="72" t="s">
        <v>35</v>
      </c>
      <c r="B17" s="29" t="s">
        <v>10</v>
      </c>
      <c r="C17" s="29" t="s">
        <v>19</v>
      </c>
      <c r="D17" s="30">
        <v>39514</v>
      </c>
      <c r="E17" s="165">
        <v>0.63982923999999974</v>
      </c>
      <c r="F17" s="33">
        <v>1782</v>
      </c>
      <c r="G17" s="120">
        <v>3.239984657347339</v>
      </c>
      <c r="H17" s="120">
        <v>5.0736380790334268</v>
      </c>
      <c r="I17" s="120">
        <v>5.9998403038245662</v>
      </c>
      <c r="J17" s="120">
        <v>3.8151962123834204</v>
      </c>
      <c r="K17" s="120">
        <v>4.9702512680981803</v>
      </c>
      <c r="L17" s="120" t="s">
        <v>71</v>
      </c>
      <c r="M17" s="120">
        <v>5.4074524333616036</v>
      </c>
      <c r="N17" s="106">
        <v>6.673500693015888</v>
      </c>
      <c r="O17" s="106"/>
      <c r="P17" s="96"/>
      <c r="Q17" s="96"/>
    </row>
    <row r="18" spans="1:18" x14ac:dyDescent="0.2">
      <c r="A18" s="70" t="s">
        <v>57</v>
      </c>
      <c r="B18" s="148" t="s">
        <v>10</v>
      </c>
      <c r="C18" s="148" t="s">
        <v>20</v>
      </c>
      <c r="D18" s="36">
        <v>38360</v>
      </c>
      <c r="E18" s="165">
        <v>0.26900000000000002</v>
      </c>
      <c r="F18" s="33">
        <v>1641</v>
      </c>
      <c r="G18" s="120">
        <v>1.0251999999999928</v>
      </c>
      <c r="H18" s="120">
        <v>0.24273111327326458</v>
      </c>
      <c r="I18" s="120">
        <v>1.7341538455000749</v>
      </c>
      <c r="J18" s="120">
        <v>1.1536884247872692</v>
      </c>
      <c r="K18" s="120">
        <v>2.5618634002007346</v>
      </c>
      <c r="L18" s="120" t="s">
        <v>71</v>
      </c>
      <c r="M18" s="120">
        <v>1.8310941234482354</v>
      </c>
      <c r="N18" s="106">
        <v>1.8478018263027085</v>
      </c>
      <c r="O18" s="106"/>
      <c r="P18" s="96"/>
      <c r="Q18" s="96"/>
    </row>
    <row r="19" spans="1:18" x14ac:dyDescent="0.2">
      <c r="A19" s="70" t="s">
        <v>56</v>
      </c>
      <c r="B19" s="12" t="s">
        <v>10</v>
      </c>
      <c r="C19" s="12" t="s">
        <v>19</v>
      </c>
      <c r="D19" s="36">
        <v>39182</v>
      </c>
      <c r="E19" s="165">
        <v>0.04</v>
      </c>
      <c r="F19" s="33">
        <v>219</v>
      </c>
      <c r="G19" s="120">
        <v>0.55039999999999534</v>
      </c>
      <c r="H19" s="120">
        <v>0.14752785726841466</v>
      </c>
      <c r="I19" s="120">
        <v>2.1202360196359016</v>
      </c>
      <c r="J19" s="120">
        <v>0.75672841236515964</v>
      </c>
      <c r="K19" s="120">
        <v>0.36713018562180894</v>
      </c>
      <c r="L19" s="120" t="s">
        <v>71</v>
      </c>
      <c r="M19" s="120">
        <v>0.35950305608033245</v>
      </c>
      <c r="N19" s="106">
        <v>2.0470665009984179</v>
      </c>
      <c r="O19" s="106"/>
      <c r="P19" s="96"/>
      <c r="Q19" s="96"/>
    </row>
    <row r="20" spans="1:18" ht="12.75" customHeight="1" x14ac:dyDescent="0.2">
      <c r="A20" s="70" t="s">
        <v>14</v>
      </c>
      <c r="B20" s="12" t="s">
        <v>10</v>
      </c>
      <c r="C20" s="12" t="s">
        <v>22</v>
      </c>
      <c r="D20" s="32">
        <v>40834</v>
      </c>
      <c r="E20" s="165">
        <v>2.0489999999999999</v>
      </c>
      <c r="F20" s="33">
        <v>2371</v>
      </c>
      <c r="G20" s="120">
        <v>3.38</v>
      </c>
      <c r="H20" s="120">
        <v>4.01</v>
      </c>
      <c r="I20" s="120">
        <v>6.15</v>
      </c>
      <c r="J20" s="120" t="s">
        <v>71</v>
      </c>
      <c r="K20" s="120" t="s">
        <v>71</v>
      </c>
      <c r="L20" s="120" t="s">
        <v>71</v>
      </c>
      <c r="M20" s="122">
        <v>5.56</v>
      </c>
      <c r="N20" s="107">
        <v>5</v>
      </c>
      <c r="O20" s="107"/>
      <c r="P20" s="96"/>
      <c r="Q20" s="96"/>
    </row>
    <row r="21" spans="1:18" x14ac:dyDescent="0.2">
      <c r="A21" s="70" t="s">
        <v>39</v>
      </c>
      <c r="B21" s="29" t="s">
        <v>10</v>
      </c>
      <c r="C21" s="29" t="s">
        <v>19</v>
      </c>
      <c r="D21" s="32">
        <v>38245</v>
      </c>
      <c r="E21" s="165">
        <v>31.017261000000001</v>
      </c>
      <c r="F21" s="33">
        <v>35148</v>
      </c>
      <c r="G21" s="120">
        <v>2.63</v>
      </c>
      <c r="H21" s="120">
        <v>2.83</v>
      </c>
      <c r="I21" s="120">
        <v>5.99</v>
      </c>
      <c r="J21" s="120">
        <v>3.4</v>
      </c>
      <c r="K21" s="120">
        <v>4.8099999999999996</v>
      </c>
      <c r="L21" s="120" t="s">
        <v>71</v>
      </c>
      <c r="M21" s="122">
        <v>5.21</v>
      </c>
      <c r="N21" s="93">
        <v>3.29</v>
      </c>
      <c r="O21" s="93"/>
      <c r="P21" s="96"/>
      <c r="Q21" s="96"/>
    </row>
    <row r="22" spans="1:18" ht="12.75" customHeight="1" x14ac:dyDescent="0.2">
      <c r="A22" s="72" t="s">
        <v>15</v>
      </c>
      <c r="B22" s="29" t="s">
        <v>10</v>
      </c>
      <c r="C22" s="29" t="s">
        <v>23</v>
      </c>
      <c r="D22" s="30">
        <v>37834</v>
      </c>
      <c r="E22" s="166">
        <v>29.813649015055802</v>
      </c>
      <c r="F22" s="31">
        <v>36236</v>
      </c>
      <c r="G22" s="170">
        <v>3.4470895902421583</v>
      </c>
      <c r="H22" s="122">
        <v>4.402879018859629</v>
      </c>
      <c r="I22" s="122">
        <v>8.8401363084045457</v>
      </c>
      <c r="J22" s="122">
        <v>5.0167354748301474</v>
      </c>
      <c r="K22" s="122">
        <v>7.179767979881313</v>
      </c>
      <c r="L22" s="122">
        <v>3.8626612758155376</v>
      </c>
      <c r="M22" s="122">
        <v>3.7343762647547907</v>
      </c>
      <c r="N22" s="107">
        <v>5.861118183718772</v>
      </c>
      <c r="O22" s="107"/>
      <c r="P22" s="96"/>
      <c r="Q22" s="96"/>
    </row>
    <row r="23" spans="1:18" ht="12.75" customHeight="1" x14ac:dyDescent="0.2">
      <c r="A23" s="73" t="s">
        <v>36</v>
      </c>
      <c r="B23" s="29" t="s">
        <v>10</v>
      </c>
      <c r="C23" s="29" t="s">
        <v>32</v>
      </c>
      <c r="D23" s="30">
        <v>39078</v>
      </c>
      <c r="E23" s="166">
        <v>8.3701009426439406</v>
      </c>
      <c r="F23" s="163">
        <v>13976</v>
      </c>
      <c r="G23" s="169">
        <v>3.4726843878038594</v>
      </c>
      <c r="H23" s="13">
        <v>5.2457159826042599</v>
      </c>
      <c r="I23" s="13">
        <v>12.764988245243725</v>
      </c>
      <c r="J23" s="13">
        <v>4.5240400189328733</v>
      </c>
      <c r="K23" s="13">
        <v>9.2778832378927145</v>
      </c>
      <c r="L23" s="120" t="s">
        <v>71</v>
      </c>
      <c r="M23" s="13">
        <v>-1.3692551875621461</v>
      </c>
      <c r="N23" s="149">
        <v>7.0563362380266392</v>
      </c>
      <c r="O23" s="107"/>
      <c r="P23" s="96"/>
      <c r="Q23" s="96"/>
    </row>
    <row r="24" spans="1:18" ht="12.75" customHeight="1" x14ac:dyDescent="0.2">
      <c r="A24" s="40" t="s">
        <v>43</v>
      </c>
      <c r="B24" s="41" t="s">
        <v>10</v>
      </c>
      <c r="C24" s="41"/>
      <c r="D24" s="42"/>
      <c r="E24" s="80">
        <f>SUM(E13:E23)</f>
        <v>84.948840502699738</v>
      </c>
      <c r="F24" s="43">
        <f>SUM(F13:F23)</f>
        <v>116583</v>
      </c>
      <c r="G24" s="124">
        <f t="shared" ref="G24:I24" si="0">($E$13*G13+$E$14*G14+$E$15*G15+$E$16*G16+$E$17*G17+$E$18*G18+$E$19*G19+$E$20*G20+$E$21*G21+$E$22*G22+$E$23*G23)/$E$24</f>
        <v>3.0623097464172049</v>
      </c>
      <c r="H24" s="124">
        <f t="shared" si="0"/>
        <v>3.8937246008359034</v>
      </c>
      <c r="I24" s="124">
        <f t="shared" si="0"/>
        <v>7.7379700880832853</v>
      </c>
      <c r="J24" s="124">
        <f>($E$13*J13+$E$14*J14+$E$15*J15+$E$16*J16+$E$17*J17+$E$18*J18+$E$19*J19+$E$21*J21+$E$22*J22+$E$23*J23)/($E$24-$E$20)</f>
        <v>4.1882834465164045</v>
      </c>
      <c r="K24" s="124">
        <f>($E$13*K13+$E$14*K14+$E$15*K15+$E$16*K16+$E$17*K17+$E$18*K18+$E$19*K19+$E$21*K21+$E$22*K22+$E$23*K23)/($E$24-$E$20)</f>
        <v>6.2186767242774392</v>
      </c>
      <c r="L24" s="124">
        <f>($E$13*L13+$E$22*L22)/($E$13+$E$22)</f>
        <v>3.8431959747239279</v>
      </c>
      <c r="M24" s="124">
        <f>($E$13*M13+$E$14*M14+$E$15*M15+$E$16*M16+$E$17*M17+$E$18*M18+$E$19*M19+$E$20*M20+$E$21*M21+$E$22*M22+$E$23*M23)/$E$24</f>
        <v>3.9739784623478998</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0.89100000000000001</v>
      </c>
      <c r="F26" s="76">
        <v>701</v>
      </c>
      <c r="G26" s="119">
        <v>2.1482646743993472</v>
      </c>
      <c r="H26" s="122">
        <v>2.2385588150829694</v>
      </c>
      <c r="I26" s="122">
        <v>5.3885498220960448</v>
      </c>
      <c r="J26" s="122">
        <v>2.6781737714800968</v>
      </c>
      <c r="K26" s="122">
        <v>4.3628751538530741</v>
      </c>
      <c r="L26" s="122" t="s">
        <v>71</v>
      </c>
      <c r="M26" s="160">
        <v>4.909803505696253</v>
      </c>
      <c r="N26" s="95">
        <v>4.7551777486180002</v>
      </c>
      <c r="O26" s="95"/>
      <c r="P26" s="96"/>
      <c r="Q26" s="96"/>
    </row>
    <row r="27" spans="1:18" ht="12.75" customHeight="1" x14ac:dyDescent="0.2">
      <c r="A27" s="72" t="s">
        <v>16</v>
      </c>
      <c r="B27" s="29" t="s">
        <v>11</v>
      </c>
      <c r="C27" s="29" t="s">
        <v>23</v>
      </c>
      <c r="D27" s="30">
        <v>37816</v>
      </c>
      <c r="E27" s="166">
        <v>1.6782956944063698</v>
      </c>
      <c r="F27" s="31">
        <v>1563</v>
      </c>
      <c r="G27" s="121">
        <v>4.1644967308031022</v>
      </c>
      <c r="H27" s="122">
        <v>6.1715984282628034</v>
      </c>
      <c r="I27" s="122">
        <v>6.5013523531700645</v>
      </c>
      <c r="J27" s="122">
        <v>2.6777745072353198</v>
      </c>
      <c r="K27" s="122">
        <v>5.1202015488872821</v>
      </c>
      <c r="L27" s="122">
        <v>2.5257550591639255</v>
      </c>
      <c r="M27" s="122">
        <v>2.3676802304292144</v>
      </c>
      <c r="N27" s="107">
        <v>7.346407153983181</v>
      </c>
      <c r="O27" s="107"/>
      <c r="P27" s="96"/>
      <c r="Q27" s="96"/>
    </row>
    <row r="28" spans="1:18" ht="12.75" customHeight="1" x14ac:dyDescent="0.2">
      <c r="A28" s="40" t="s">
        <v>43</v>
      </c>
      <c r="B28" s="41" t="s">
        <v>11</v>
      </c>
      <c r="C28" s="45"/>
      <c r="D28" s="46"/>
      <c r="E28" s="82">
        <f>SUM(E26:E27)</f>
        <v>2.5692956944063701</v>
      </c>
      <c r="F28" s="44">
        <f>SUM(F26:F27)</f>
        <v>2264</v>
      </c>
      <c r="G28" s="124">
        <f>($E$26*G26+$E$27*G27)/$E$28</f>
        <v>3.4652923666783977</v>
      </c>
      <c r="H28" s="124">
        <f>($E$26*H26+$E$27*H27)/$E$28</f>
        <v>4.8076688879718388</v>
      </c>
      <c r="I28" s="124">
        <f>($E$26*I26+$E$27*I27)/$E$28</f>
        <v>6.1154461854426332</v>
      </c>
      <c r="J28" s="124">
        <f>($E$26*J26+$E$27*J27)/$E$28</f>
        <v>2.6779129671420057</v>
      </c>
      <c r="K28" s="124">
        <f>($E$26*K26+$E$27*K27)/$E$28</f>
        <v>4.8575701127919579</v>
      </c>
      <c r="L28" s="124">
        <f>L27</f>
        <v>2.5257550591639255</v>
      </c>
      <c r="M28" s="124">
        <f>($E$26*M26+$E$27*M27)/$E$28</f>
        <v>3.249257171220477</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87.518136197106102</v>
      </c>
      <c r="F30" s="44">
        <f>F28+F24</f>
        <v>118847</v>
      </c>
      <c r="G30" s="132">
        <f t="shared" ref="G30:M30" si="1">($E$24*G24+$E$28*G28)/$E$30</f>
        <v>3.0741402258600696</v>
      </c>
      <c r="H30" s="132">
        <f t="shared" si="1"/>
        <v>3.9205555323879322</v>
      </c>
      <c r="I30" s="132">
        <f t="shared" si="1"/>
        <v>7.6903371761147614</v>
      </c>
      <c r="J30" s="132">
        <f t="shared" si="1"/>
        <v>4.1439430556187355</v>
      </c>
      <c r="K30" s="132">
        <f t="shared" si="1"/>
        <v>6.1787183167007322</v>
      </c>
      <c r="L30" s="132">
        <f t="shared" si="1"/>
        <v>3.8045194738400463</v>
      </c>
      <c r="M30" s="132">
        <f t="shared" si="1"/>
        <v>3.9527026060071671</v>
      </c>
      <c r="N30" s="95"/>
      <c r="O30" s="95"/>
      <c r="P30" s="96"/>
      <c r="Q30" s="96"/>
      <c r="R30" s="25"/>
    </row>
    <row r="31" spans="1:18" s="24" customFormat="1" ht="26.25" customHeight="1" x14ac:dyDescent="0.2">
      <c r="A31" s="228" t="s">
        <v>46</v>
      </c>
      <c r="B31" s="228"/>
      <c r="C31" s="228"/>
      <c r="D31" s="228"/>
      <c r="E31" s="84">
        <f>SUM(E10,E30)</f>
        <v>191.04113508626381</v>
      </c>
      <c r="F31" s="63">
        <f>SUM(F10, F30)</f>
        <v>213222</v>
      </c>
      <c r="G31" s="196"/>
      <c r="H31" s="229"/>
      <c r="I31" s="230"/>
      <c r="J31" s="230"/>
      <c r="K31" s="230"/>
      <c r="L31" s="230"/>
      <c r="M31" s="231"/>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57.043999999999997</v>
      </c>
      <c r="F34" s="27">
        <v>12181</v>
      </c>
      <c r="G34" s="136">
        <v>2.17</v>
      </c>
      <c r="H34" s="136">
        <v>3.04</v>
      </c>
      <c r="I34" s="136">
        <v>5.0199999999999996</v>
      </c>
      <c r="J34" s="136">
        <v>3.65</v>
      </c>
      <c r="K34" s="136">
        <v>5.69</v>
      </c>
      <c r="L34" s="136">
        <v>5</v>
      </c>
      <c r="M34" s="137">
        <v>7.4</v>
      </c>
      <c r="N34" s="106">
        <v>3.63</v>
      </c>
      <c r="O34" s="106"/>
      <c r="P34" s="96"/>
      <c r="Q34" s="96"/>
    </row>
    <row r="35" spans="1:18" ht="31.5" customHeight="1" x14ac:dyDescent="0.2">
      <c r="A35" s="232" t="s">
        <v>33</v>
      </c>
      <c r="B35" s="233"/>
      <c r="C35" s="233"/>
      <c r="D35" s="234"/>
      <c r="E35" s="115">
        <f>E31+E34</f>
        <v>248.08513508626379</v>
      </c>
      <c r="F35" s="116">
        <f>F31+F34</f>
        <v>225403</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5" t="s">
        <v>81</v>
      </c>
      <c r="B36" s="236"/>
      <c r="C36" s="236"/>
      <c r="D36" s="236"/>
      <c r="E36" s="236"/>
      <c r="F36" s="236"/>
      <c r="G36" s="236"/>
      <c r="H36" s="236"/>
      <c r="I36" s="236"/>
      <c r="J36" s="236"/>
      <c r="K36" s="236"/>
      <c r="L36" s="236"/>
      <c r="M36" s="237"/>
      <c r="N36" s="15"/>
      <c r="O36" s="15"/>
    </row>
    <row r="37" spans="1:18" s="4" customFormat="1" ht="24" customHeight="1" x14ac:dyDescent="0.2">
      <c r="A37" s="238" t="s">
        <v>31</v>
      </c>
      <c r="B37" s="239"/>
      <c r="C37" s="239"/>
      <c r="D37" s="239"/>
      <c r="E37" s="239"/>
      <c r="F37" s="239"/>
      <c r="G37" s="239"/>
      <c r="H37" s="239"/>
      <c r="I37" s="239"/>
      <c r="J37" s="239"/>
      <c r="K37" s="239"/>
      <c r="L37" s="239"/>
      <c r="M37" s="240"/>
      <c r="N37" s="19"/>
      <c r="O37" s="19"/>
      <c r="P37" s="98"/>
      <c r="Q37" s="98"/>
    </row>
    <row r="38" spans="1:18" s="4" customFormat="1" ht="24" customHeight="1" x14ac:dyDescent="0.2">
      <c r="A38" s="197" t="s">
        <v>55</v>
      </c>
      <c r="B38" s="198"/>
      <c r="C38" s="198"/>
      <c r="D38" s="198"/>
      <c r="E38" s="198"/>
      <c r="F38" s="198"/>
      <c r="G38" s="198"/>
      <c r="H38" s="198"/>
      <c r="I38" s="198"/>
      <c r="J38" s="198"/>
      <c r="K38" s="198"/>
      <c r="L38" s="198"/>
      <c r="M38" s="199"/>
      <c r="N38" s="19"/>
      <c r="O38" s="19"/>
      <c r="P38" s="98"/>
      <c r="Q38" s="98"/>
    </row>
    <row r="39" spans="1:18" ht="22.5" customHeight="1" x14ac:dyDescent="0.2">
      <c r="B39" s="11"/>
      <c r="C39" s="11"/>
      <c r="D39" s="11"/>
      <c r="E39" s="241" t="s">
        <v>52</v>
      </c>
      <c r="F39" s="242"/>
      <c r="G39" s="140">
        <f>($E$10*G10+$E$24*G24+$E$28*G28+$E$34*G34)/$E$35</f>
        <v>2.6407906108202832</v>
      </c>
      <c r="H39" s="140">
        <f>($E$10*H10+$E$24*H24+$E$28*H28+$E$34*H34)/$E$35</f>
        <v>3.219868084729741</v>
      </c>
      <c r="I39" s="140">
        <f t="shared" ref="I39:M39" si="2">($E$10*I10+$E$24*I24+$E$28*I28+$E$34*I34)/$E$35</f>
        <v>5.9361764391081016</v>
      </c>
      <c r="J39" s="140">
        <f t="shared" si="2"/>
        <v>3.7434626052985238</v>
      </c>
      <c r="K39" s="140">
        <f t="shared" si="2"/>
        <v>5.7390728333218393</v>
      </c>
      <c r="L39" s="140">
        <f t="shared" si="2"/>
        <v>4.333887058617151</v>
      </c>
      <c r="M39" s="140">
        <f t="shared" si="2"/>
        <v>5.4881934939662278</v>
      </c>
      <c r="N39" s="16"/>
      <c r="O39" s="16"/>
    </row>
    <row r="40" spans="1:18" ht="16.5" customHeight="1" x14ac:dyDescent="0.2">
      <c r="B40" s="10"/>
      <c r="C40" s="10"/>
      <c r="D40" s="10"/>
      <c r="E40" s="20"/>
      <c r="F40" s="77" t="s">
        <v>51</v>
      </c>
      <c r="G40" s="141"/>
      <c r="H40" s="141">
        <f>H39-'APR-2014'!H39</f>
        <v>1.6107260808349404</v>
      </c>
      <c r="I40" s="141">
        <f>I39-'APR-2014'!I39</f>
        <v>1.4066922028786522</v>
      </c>
      <c r="J40" s="141">
        <f>J39-'APR-2014'!J39</f>
        <v>0.45470913167208726</v>
      </c>
      <c r="K40" s="141">
        <f>K39-'APR-2014'!K39</f>
        <v>-1.7893272609070365E-2</v>
      </c>
      <c r="L40" s="141">
        <f>L39-'APR-2014'!L39</f>
        <v>0.16691123332424507</v>
      </c>
      <c r="M40" s="141">
        <f>M39-'APR-2014'!M39</f>
        <v>0.12056934458893664</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76</v>
      </c>
      <c r="B44" s="150"/>
      <c r="C44" s="150"/>
      <c r="D44" s="24"/>
      <c r="E44" s="151">
        <f>E35-'DEC-2013'!$E$38</f>
        <v>12.464664868584691</v>
      </c>
      <c r="F44" s="152">
        <f>E44/'DEC-2013'!$E$38</f>
        <v>5.2901451461620251E-2</v>
      </c>
      <c r="H44" s="6"/>
      <c r="I44" s="6"/>
      <c r="J44" s="6"/>
      <c r="K44" s="6"/>
      <c r="L44" s="6"/>
      <c r="M44" s="6"/>
      <c r="N44" s="86"/>
      <c r="O44" s="86"/>
      <c r="P44" s="91"/>
    </row>
    <row r="45" spans="1:18" x14ac:dyDescent="0.2">
      <c r="A45" s="24" t="s">
        <v>77</v>
      </c>
      <c r="B45" s="150"/>
      <c r="C45" s="150"/>
      <c r="D45" s="24"/>
      <c r="E45" s="153">
        <f>F35-'DEC-2013'!$F$38</f>
        <v>4923</v>
      </c>
      <c r="F45" s="152">
        <f>E45/'DEC-2013'!$F$38</f>
        <v>2.2328555878084182E-2</v>
      </c>
      <c r="H45" s="5"/>
      <c r="I45" s="5"/>
      <c r="J45" s="5"/>
      <c r="K45" s="5"/>
      <c r="L45" s="5"/>
      <c r="M45" s="5"/>
      <c r="N45" s="100"/>
      <c r="O45" s="100"/>
    </row>
  </sheetData>
  <mergeCells count="19">
    <mergeCell ref="A1:M1"/>
    <mergeCell ref="A2:A3"/>
    <mergeCell ref="B2:B3"/>
    <mergeCell ref="C2:C3"/>
    <mergeCell ref="D2:D3"/>
    <mergeCell ref="E2:E3"/>
    <mergeCell ref="F2:F3"/>
    <mergeCell ref="G2:M2"/>
    <mergeCell ref="P3:Q3"/>
    <mergeCell ref="A4:M4"/>
    <mergeCell ref="A5:M5"/>
    <mergeCell ref="A12:M12"/>
    <mergeCell ref="A31:D31"/>
    <mergeCell ref="H31:M31"/>
    <mergeCell ref="A35:D35"/>
    <mergeCell ref="A36:M36"/>
    <mergeCell ref="A37:M37"/>
    <mergeCell ref="E39:F39"/>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abSelected="1" zoomScaleNormal="100" workbookViewId="0">
      <pane ySplit="3" topLeftCell="A4" activePane="bottomLeft" state="frozen"/>
      <selection pane="bottomLeft" activeCell="M46" sqref="M4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11" t="s">
        <v>78</v>
      </c>
      <c r="B1" s="211"/>
      <c r="C1" s="211"/>
      <c r="D1" s="211"/>
      <c r="E1" s="211"/>
      <c r="F1" s="211"/>
      <c r="G1" s="211"/>
      <c r="H1" s="211"/>
      <c r="I1" s="211"/>
      <c r="J1" s="211"/>
      <c r="K1" s="211"/>
      <c r="L1" s="211"/>
      <c r="M1" s="211"/>
      <c r="N1" s="14"/>
      <c r="O1" s="14"/>
      <c r="P1" s="87"/>
      <c r="Q1" s="87"/>
    </row>
    <row r="2" spans="1:17" ht="24" customHeight="1" x14ac:dyDescent="0.2">
      <c r="A2" s="212" t="s">
        <v>0</v>
      </c>
      <c r="B2" s="213" t="s">
        <v>12</v>
      </c>
      <c r="C2" s="214" t="s">
        <v>18</v>
      </c>
      <c r="D2" s="215" t="s">
        <v>37</v>
      </c>
      <c r="E2" s="216" t="s">
        <v>60</v>
      </c>
      <c r="F2" s="217" t="s">
        <v>2</v>
      </c>
      <c r="G2" s="218" t="s">
        <v>3</v>
      </c>
      <c r="H2" s="219"/>
      <c r="I2" s="219"/>
      <c r="J2" s="219"/>
      <c r="K2" s="219"/>
      <c r="L2" s="219"/>
      <c r="M2" s="220"/>
      <c r="N2" s="19"/>
      <c r="O2" s="19"/>
    </row>
    <row r="3" spans="1:17" ht="42.75" customHeight="1" x14ac:dyDescent="0.2">
      <c r="A3" s="212"/>
      <c r="B3" s="213"/>
      <c r="C3" s="214"/>
      <c r="D3" s="215"/>
      <c r="E3" s="216"/>
      <c r="F3" s="217"/>
      <c r="G3" s="118" t="s">
        <v>53</v>
      </c>
      <c r="H3" s="204" t="s">
        <v>4</v>
      </c>
      <c r="I3" s="204" t="s">
        <v>5</v>
      </c>
      <c r="J3" s="204" t="s">
        <v>6</v>
      </c>
      <c r="K3" s="204" t="s">
        <v>7</v>
      </c>
      <c r="L3" s="117" t="s">
        <v>54</v>
      </c>
      <c r="M3" s="205" t="s">
        <v>8</v>
      </c>
      <c r="N3" s="221" t="s">
        <v>49</v>
      </c>
      <c r="O3" s="243"/>
      <c r="P3" s="221" t="s">
        <v>50</v>
      </c>
      <c r="Q3" s="222"/>
    </row>
    <row r="4" spans="1:17" ht="26.25" customHeight="1" x14ac:dyDescent="0.2">
      <c r="A4" s="223" t="s">
        <v>47</v>
      </c>
      <c r="B4" s="224"/>
      <c r="C4" s="224"/>
      <c r="D4" s="224"/>
      <c r="E4" s="224"/>
      <c r="F4" s="224"/>
      <c r="G4" s="224"/>
      <c r="H4" s="224"/>
      <c r="I4" s="224"/>
      <c r="J4" s="224"/>
      <c r="K4" s="224"/>
      <c r="L4" s="224"/>
      <c r="M4" s="225"/>
      <c r="N4" s="85"/>
      <c r="O4" s="85"/>
    </row>
    <row r="5" spans="1:17" ht="23.25" customHeight="1" x14ac:dyDescent="0.2">
      <c r="A5" s="226" t="s">
        <v>42</v>
      </c>
      <c r="B5" s="226"/>
      <c r="C5" s="226"/>
      <c r="D5" s="226"/>
      <c r="E5" s="226"/>
      <c r="F5" s="226"/>
      <c r="G5" s="226"/>
      <c r="H5" s="226"/>
      <c r="I5" s="226"/>
      <c r="J5" s="226"/>
      <c r="K5" s="226"/>
      <c r="L5" s="226"/>
      <c r="M5" s="226"/>
      <c r="N5" s="19"/>
      <c r="O5" s="19"/>
    </row>
    <row r="6" spans="1:17" s="17" customFormat="1" x14ac:dyDescent="0.2">
      <c r="A6" s="70" t="s">
        <v>27</v>
      </c>
      <c r="B6" s="12" t="s">
        <v>10</v>
      </c>
      <c r="C6" s="12" t="s">
        <v>26</v>
      </c>
      <c r="D6" s="30">
        <v>36433</v>
      </c>
      <c r="E6" s="164">
        <v>21.818999999999999</v>
      </c>
      <c r="F6" s="76">
        <v>27193</v>
      </c>
      <c r="G6" s="119">
        <v>3.56772627345652</v>
      </c>
      <c r="H6" s="160">
        <v>6.0614441100635075</v>
      </c>
      <c r="I6" s="160">
        <v>6.2021465725863534</v>
      </c>
      <c r="J6" s="160">
        <v>4.0772626961270264</v>
      </c>
      <c r="K6" s="160">
        <v>6.3781561791857788</v>
      </c>
      <c r="L6" s="160">
        <v>3.925709629955132</v>
      </c>
      <c r="M6" s="160">
        <v>5.8288676442356246</v>
      </c>
      <c r="N6" s="89">
        <v>5.7492123882213919</v>
      </c>
      <c r="O6" s="89"/>
      <c r="P6" s="210"/>
      <c r="Q6" s="210"/>
    </row>
    <row r="7" spans="1:17" s="2" customFormat="1" ht="12.75" customHeight="1" x14ac:dyDescent="0.2">
      <c r="A7" s="70" t="s">
        <v>34</v>
      </c>
      <c r="B7" s="12" t="s">
        <v>10</v>
      </c>
      <c r="C7" s="12" t="s">
        <v>21</v>
      </c>
      <c r="D7" s="32">
        <v>40834</v>
      </c>
      <c r="E7" s="165">
        <v>3.2450000000000001</v>
      </c>
      <c r="F7" s="33">
        <v>3174</v>
      </c>
      <c r="G7" s="120">
        <v>3.28</v>
      </c>
      <c r="H7" s="120">
        <v>5.5</v>
      </c>
      <c r="I7" s="120">
        <v>3.95</v>
      </c>
      <c r="J7" s="120" t="s">
        <v>71</v>
      </c>
      <c r="K7" s="120" t="s">
        <v>71</v>
      </c>
      <c r="L7" s="120" t="s">
        <v>71</v>
      </c>
      <c r="M7" s="122">
        <v>4.45</v>
      </c>
      <c r="N7" s="90">
        <v>2.29</v>
      </c>
      <c r="O7" s="90"/>
      <c r="P7" s="91"/>
      <c r="Q7" s="91"/>
    </row>
    <row r="8" spans="1:17" s="2" customFormat="1" ht="12.75" customHeight="1" x14ac:dyDescent="0.2">
      <c r="A8" s="70" t="s">
        <v>38</v>
      </c>
      <c r="B8" s="12" t="s">
        <v>10</v>
      </c>
      <c r="C8" s="12" t="s">
        <v>21</v>
      </c>
      <c r="D8" s="32">
        <v>36738</v>
      </c>
      <c r="E8" s="165">
        <v>63.041108999999999</v>
      </c>
      <c r="F8" s="33">
        <v>41435</v>
      </c>
      <c r="G8" s="120">
        <v>3.25</v>
      </c>
      <c r="H8" s="120">
        <v>5.12</v>
      </c>
      <c r="I8" s="120">
        <v>4.55</v>
      </c>
      <c r="J8" s="120">
        <v>3.28</v>
      </c>
      <c r="K8" s="120">
        <v>4.59</v>
      </c>
      <c r="L8" s="120">
        <v>4.47</v>
      </c>
      <c r="M8" s="122">
        <v>4.9800000000000004</v>
      </c>
      <c r="N8" s="92">
        <v>2.2400000000000002</v>
      </c>
      <c r="O8" s="92"/>
      <c r="P8" s="91"/>
      <c r="Q8" s="91"/>
    </row>
    <row r="9" spans="1:17" ht="12.75" customHeight="1" x14ac:dyDescent="0.2">
      <c r="A9" s="71" t="s">
        <v>13</v>
      </c>
      <c r="B9" s="34" t="s">
        <v>10</v>
      </c>
      <c r="C9" s="34" t="s">
        <v>21</v>
      </c>
      <c r="D9" s="35">
        <v>37816</v>
      </c>
      <c r="E9" s="167">
        <v>16.795181118633099</v>
      </c>
      <c r="F9" s="162">
        <v>23316</v>
      </c>
      <c r="G9" s="121">
        <v>3.9719921669209457</v>
      </c>
      <c r="H9" s="122">
        <v>6.2764455575961664</v>
      </c>
      <c r="I9" s="122">
        <v>5.3548060162670774</v>
      </c>
      <c r="J9" s="122">
        <v>4.6586845721850345</v>
      </c>
      <c r="K9" s="122">
        <v>6.2252152919768156</v>
      </c>
      <c r="L9" s="122">
        <v>2.9787440127833076</v>
      </c>
      <c r="M9" s="122">
        <v>3.011320846709431</v>
      </c>
      <c r="N9" s="90">
        <v>4.6684968949619154</v>
      </c>
      <c r="O9" s="90"/>
    </row>
    <row r="10" spans="1:17" s="24" customFormat="1" ht="23.25" customHeight="1" x14ac:dyDescent="0.2">
      <c r="A10" s="51" t="s">
        <v>44</v>
      </c>
      <c r="B10" s="52" t="s">
        <v>10</v>
      </c>
      <c r="C10" s="52"/>
      <c r="D10" s="53"/>
      <c r="E10" s="75">
        <f>SUM(E6:E9)</f>
        <v>104.90029011863309</v>
      </c>
      <c r="F10" s="54">
        <f>SUM(F6:F9)</f>
        <v>95118</v>
      </c>
      <c r="G10" s="123">
        <f>($E$6*G6+$E$7*G7+$E$8*G8+$E$9*G9+$E$34*G34)/($E$10+$E$34)</f>
        <v>3.1237407799301109</v>
      </c>
      <c r="H10" s="123">
        <f>($E$6*H6+$E$7*H7+$E$8*H8+$E$9*H9+$E$34*H34)/($E$10+$E$34)</f>
        <v>5.4055737912526878</v>
      </c>
      <c r="I10" s="123">
        <f>($E$6*I6+$E$7*I7+$E$8*I8+$E$9*I9+$E$34*I34)/($E$10+$E$34)</f>
        <v>4.974226204933708</v>
      </c>
      <c r="J10" s="123">
        <f>($E$6*J6+$E$8*J8+$E$9*J9+$E$34*J34)/($E$6+$E$8+$E$9+$E$34)</f>
        <v>3.8021005623802506</v>
      </c>
      <c r="K10" s="123">
        <f>($E$6*K6+$E$8*K8+$E$9*K9+$E$34*K34)/($E$6+$E$8+$E$9+$E$34)</f>
        <v>5.3617249073304576</v>
      </c>
      <c r="L10" s="123">
        <f>($E$6*L6+$E$8*L8+$E$9*L9+$E$34*L34)/($E$6+$E$8+$E$9+$E$34)</f>
        <v>4.4257887427367111</v>
      </c>
      <c r="M10" s="123">
        <f>($E$6*M6+$E$7*M7+$E$8*M8+$E$9*M9+$E$34*M34)/($E$10+$E$34)</f>
        <v>5.7435065261563736</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27" t="s">
        <v>43</v>
      </c>
      <c r="B12" s="227"/>
      <c r="C12" s="227"/>
      <c r="D12" s="227"/>
      <c r="E12" s="227"/>
      <c r="F12" s="227"/>
      <c r="G12" s="227"/>
      <c r="H12" s="227"/>
      <c r="I12" s="227"/>
      <c r="J12" s="227"/>
      <c r="K12" s="227"/>
      <c r="L12" s="227"/>
      <c r="M12" s="227"/>
      <c r="N12" s="19"/>
      <c r="O12" s="19"/>
      <c r="P12" s="96"/>
      <c r="Q12" s="96"/>
    </row>
    <row r="13" spans="1:17" x14ac:dyDescent="0.2">
      <c r="A13" s="73" t="s">
        <v>28</v>
      </c>
      <c r="B13" s="12" t="s">
        <v>10</v>
      </c>
      <c r="C13" s="12" t="s">
        <v>19</v>
      </c>
      <c r="D13" s="30">
        <v>36606</v>
      </c>
      <c r="E13" s="164">
        <v>7.468</v>
      </c>
      <c r="F13" s="76">
        <v>20582</v>
      </c>
      <c r="G13" s="119">
        <v>3.4464781969269045</v>
      </c>
      <c r="H13" s="160">
        <v>6.9092833189401182</v>
      </c>
      <c r="I13" s="160">
        <v>7.37742794294316</v>
      </c>
      <c r="J13" s="160">
        <v>4.7288657859292371</v>
      </c>
      <c r="K13" s="160">
        <v>6.0687245174835036</v>
      </c>
      <c r="L13" s="160">
        <v>3.747785171939011</v>
      </c>
      <c r="M13" s="160">
        <v>5.6258320021862707</v>
      </c>
      <c r="N13" s="95">
        <v>5.632174396282541</v>
      </c>
      <c r="O13" s="95"/>
      <c r="P13" s="96"/>
      <c r="Q13" s="96"/>
    </row>
    <row r="14" spans="1:17" ht="12.75" customHeight="1" x14ac:dyDescent="0.2">
      <c r="A14" s="73" t="s">
        <v>48</v>
      </c>
      <c r="B14" s="12" t="s">
        <v>10</v>
      </c>
      <c r="C14" s="12" t="s">
        <v>19</v>
      </c>
      <c r="D14" s="30">
        <v>39367</v>
      </c>
      <c r="E14" s="166">
        <v>4.673</v>
      </c>
      <c r="F14" s="31">
        <v>3934</v>
      </c>
      <c r="G14" s="121">
        <v>2.636825976653852</v>
      </c>
      <c r="H14" s="122">
        <v>5.7081944229848025</v>
      </c>
      <c r="I14" s="122">
        <v>5.6330970628280408</v>
      </c>
      <c r="J14" s="122">
        <v>3.5976434767500676</v>
      </c>
      <c r="K14" s="122">
        <v>4.616494419593975</v>
      </c>
      <c r="L14" s="122" t="s">
        <v>71</v>
      </c>
      <c r="M14" s="160">
        <v>3.3085185861327915</v>
      </c>
      <c r="N14" s="95">
        <v>3.3237002917788416</v>
      </c>
      <c r="O14" s="95"/>
      <c r="P14" s="96"/>
      <c r="Q14" s="96"/>
    </row>
    <row r="15" spans="1:17" x14ac:dyDescent="0.2">
      <c r="A15" s="73" t="s">
        <v>30</v>
      </c>
      <c r="B15" s="12" t="s">
        <v>10</v>
      </c>
      <c r="C15" s="12" t="s">
        <v>20</v>
      </c>
      <c r="D15" s="30">
        <v>36091</v>
      </c>
      <c r="E15" s="165">
        <v>0.52075166499999981</v>
      </c>
      <c r="F15" s="33">
        <v>541</v>
      </c>
      <c r="G15" s="120">
        <v>6.8120620514500407</v>
      </c>
      <c r="H15" s="120">
        <v>8.7595722258711604</v>
      </c>
      <c r="I15" s="120">
        <v>7.6801211122428326</v>
      </c>
      <c r="J15" s="120">
        <v>5.5775586865947524</v>
      </c>
      <c r="K15" s="120">
        <v>5.8612167897629464</v>
      </c>
      <c r="L15" s="120" t="s">
        <v>71</v>
      </c>
      <c r="M15" s="120">
        <v>5.5938069002366531</v>
      </c>
      <c r="N15" s="106">
        <v>8.5002675993285592</v>
      </c>
      <c r="O15" s="106"/>
      <c r="P15" s="96"/>
      <c r="Q15" s="96"/>
    </row>
    <row r="16" spans="1:17" ht="13.5" customHeight="1" x14ac:dyDescent="0.2">
      <c r="A16" s="73" t="s">
        <v>17</v>
      </c>
      <c r="B16" s="12" t="s">
        <v>10</v>
      </c>
      <c r="C16" s="12" t="s">
        <v>24</v>
      </c>
      <c r="D16" s="30">
        <v>4.1063829196259997E-2</v>
      </c>
      <c r="E16" s="165">
        <v>6.272220500000017E-2</v>
      </c>
      <c r="F16" s="33">
        <v>107</v>
      </c>
      <c r="G16" s="120">
        <v>4.0933814565535354</v>
      </c>
      <c r="H16" s="120">
        <v>7.4855559120936555</v>
      </c>
      <c r="I16" s="120">
        <v>6.416295323411636</v>
      </c>
      <c r="J16" s="120">
        <v>4.0403943955954036</v>
      </c>
      <c r="K16" s="120">
        <v>3.5395285820571942</v>
      </c>
      <c r="L16" s="120" t="s">
        <v>71</v>
      </c>
      <c r="M16" s="120">
        <v>4.5026085859830811</v>
      </c>
      <c r="N16" s="106">
        <v>6.8181787881934408</v>
      </c>
      <c r="O16" s="106"/>
      <c r="P16" s="96"/>
      <c r="Q16" s="96"/>
    </row>
    <row r="17" spans="1:18" ht="12.75" customHeight="1" x14ac:dyDescent="0.2">
      <c r="A17" s="73" t="s">
        <v>35</v>
      </c>
      <c r="B17" s="12" t="s">
        <v>10</v>
      </c>
      <c r="C17" s="12" t="s">
        <v>19</v>
      </c>
      <c r="D17" s="30">
        <v>39514</v>
      </c>
      <c r="E17" s="165">
        <v>0.64386685499999974</v>
      </c>
      <c r="F17" s="33">
        <v>1780</v>
      </c>
      <c r="G17" s="120">
        <v>3.5601447301114364</v>
      </c>
      <c r="H17" s="120">
        <v>6.8266374755721948</v>
      </c>
      <c r="I17" s="120">
        <v>5.7528538206069957</v>
      </c>
      <c r="J17" s="120">
        <v>3.859555592606001</v>
      </c>
      <c r="K17" s="120">
        <v>4.7372039271119659</v>
      </c>
      <c r="L17" s="120" t="s">
        <v>71</v>
      </c>
      <c r="M17" s="120">
        <v>5.3858181959988372</v>
      </c>
      <c r="N17" s="106">
        <v>8.4530596010859771</v>
      </c>
      <c r="O17" s="106"/>
      <c r="P17" s="96"/>
      <c r="Q17" s="96"/>
    </row>
    <row r="18" spans="1:18" x14ac:dyDescent="0.2">
      <c r="A18" s="70" t="s">
        <v>57</v>
      </c>
      <c r="B18" s="148" t="s">
        <v>10</v>
      </c>
      <c r="C18" s="148" t="s">
        <v>20</v>
      </c>
      <c r="D18" s="36">
        <v>38360</v>
      </c>
      <c r="E18" s="165">
        <v>0.26900000000000002</v>
      </c>
      <c r="F18" s="33">
        <v>1632</v>
      </c>
      <c r="G18" s="120">
        <v>0.08</v>
      </c>
      <c r="H18" s="120">
        <v>1.96</v>
      </c>
      <c r="I18" s="120">
        <v>1.53</v>
      </c>
      <c r="J18" s="120">
        <v>1.26</v>
      </c>
      <c r="K18" s="120">
        <v>2.5100000000000002</v>
      </c>
      <c r="L18" s="120" t="s">
        <v>71</v>
      </c>
      <c r="M18" s="120">
        <v>1.81</v>
      </c>
      <c r="N18" s="106">
        <v>1.8478018263027085</v>
      </c>
      <c r="O18" s="106"/>
      <c r="P18" s="96"/>
      <c r="Q18" s="96"/>
    </row>
    <row r="19" spans="1:18" x14ac:dyDescent="0.2">
      <c r="A19" s="70" t="s">
        <v>56</v>
      </c>
      <c r="B19" s="12" t="s">
        <v>10</v>
      </c>
      <c r="C19" s="12" t="s">
        <v>19</v>
      </c>
      <c r="D19" s="36">
        <v>39182</v>
      </c>
      <c r="E19" s="165">
        <v>3.9E-2</v>
      </c>
      <c r="F19" s="33">
        <v>218</v>
      </c>
      <c r="G19" s="120">
        <v>0.1</v>
      </c>
      <c r="H19" s="120">
        <v>1.8800000000000001</v>
      </c>
      <c r="I19" s="120">
        <v>1.8399999999999999</v>
      </c>
      <c r="J19" s="120">
        <v>0.98</v>
      </c>
      <c r="K19" s="120">
        <v>0.35000000000000003</v>
      </c>
      <c r="L19" s="120" t="s">
        <v>71</v>
      </c>
      <c r="M19" s="120">
        <v>0.27</v>
      </c>
      <c r="N19" s="106">
        <v>2.0470665009984179</v>
      </c>
      <c r="O19" s="106"/>
      <c r="P19" s="96"/>
      <c r="Q19" s="96"/>
    </row>
    <row r="20" spans="1:18" ht="12.75" customHeight="1" x14ac:dyDescent="0.2">
      <c r="A20" s="70" t="s">
        <v>14</v>
      </c>
      <c r="B20" s="12" t="s">
        <v>10</v>
      </c>
      <c r="C20" s="12" t="s">
        <v>22</v>
      </c>
      <c r="D20" s="32">
        <v>40834</v>
      </c>
      <c r="E20" s="165">
        <v>2.125</v>
      </c>
      <c r="F20" s="33">
        <v>2452</v>
      </c>
      <c r="G20" s="120">
        <v>3.8</v>
      </c>
      <c r="H20" s="120">
        <v>9.2899999999999991</v>
      </c>
      <c r="I20" s="120">
        <v>6.9</v>
      </c>
      <c r="J20" s="120" t="s">
        <v>71</v>
      </c>
      <c r="K20" s="120" t="s">
        <v>71</v>
      </c>
      <c r="L20" s="120" t="s">
        <v>71</v>
      </c>
      <c r="M20" s="122">
        <v>5.54</v>
      </c>
      <c r="N20" s="107">
        <v>5</v>
      </c>
      <c r="O20" s="107"/>
      <c r="P20" s="96"/>
      <c r="Q20" s="96"/>
    </row>
    <row r="21" spans="1:18" x14ac:dyDescent="0.2">
      <c r="A21" s="70" t="s">
        <v>39</v>
      </c>
      <c r="B21" s="12" t="s">
        <v>10</v>
      </c>
      <c r="C21" s="12" t="s">
        <v>19</v>
      </c>
      <c r="D21" s="32">
        <v>38245</v>
      </c>
      <c r="E21" s="165">
        <v>31.404119999999999</v>
      </c>
      <c r="F21" s="33">
        <v>35148</v>
      </c>
      <c r="G21" s="120">
        <v>3.5</v>
      </c>
      <c r="H21" s="120">
        <v>6.8</v>
      </c>
      <c r="I21" s="120">
        <v>6.14</v>
      </c>
      <c r="J21" s="120">
        <v>3.78</v>
      </c>
      <c r="K21" s="120">
        <v>4.83</v>
      </c>
      <c r="L21" s="120" t="s">
        <v>72</v>
      </c>
      <c r="M21" s="122">
        <v>5.26</v>
      </c>
      <c r="N21" s="93">
        <v>3.29</v>
      </c>
      <c r="O21" s="93"/>
      <c r="P21" s="96"/>
      <c r="Q21" s="96"/>
    </row>
    <row r="22" spans="1:18" ht="12.75" customHeight="1" x14ac:dyDescent="0.2">
      <c r="A22" s="72" t="s">
        <v>15</v>
      </c>
      <c r="B22" s="29" t="s">
        <v>10</v>
      </c>
      <c r="C22" s="29" t="s">
        <v>23</v>
      </c>
      <c r="D22" s="30">
        <v>37834</v>
      </c>
      <c r="E22" s="166">
        <v>30.5098444163241</v>
      </c>
      <c r="F22" s="31">
        <v>36489</v>
      </c>
      <c r="G22" s="170">
        <v>4.3184342603577175</v>
      </c>
      <c r="H22" s="122">
        <v>8.6265453889487365</v>
      </c>
      <c r="I22" s="122">
        <v>8.4205508319209024</v>
      </c>
      <c r="J22" s="122">
        <v>5.8359832759190544</v>
      </c>
      <c r="K22" s="122">
        <v>7.2568921052276414</v>
      </c>
      <c r="L22" s="122">
        <v>3.9733990418309606</v>
      </c>
      <c r="M22" s="122">
        <v>3.7854274027854462</v>
      </c>
      <c r="N22" s="107">
        <v>5.861118183718772</v>
      </c>
      <c r="O22" s="107"/>
      <c r="P22" s="96"/>
      <c r="Q22" s="96"/>
    </row>
    <row r="23" spans="1:18" ht="12.75" customHeight="1" x14ac:dyDescent="0.2">
      <c r="A23" s="73" t="s">
        <v>36</v>
      </c>
      <c r="B23" s="29" t="s">
        <v>10</v>
      </c>
      <c r="C23" s="29" t="s">
        <v>32</v>
      </c>
      <c r="D23" s="30">
        <v>39078</v>
      </c>
      <c r="E23" s="166">
        <v>8.5066035542114999</v>
      </c>
      <c r="F23" s="163">
        <v>14057</v>
      </c>
      <c r="G23" s="169">
        <v>4.4214232300219702</v>
      </c>
      <c r="H23" s="13">
        <v>11.281276229242776</v>
      </c>
      <c r="I23" s="13">
        <v>11.394291950050018</v>
      </c>
      <c r="J23" s="13">
        <v>5.8163016614662721</v>
      </c>
      <c r="K23" s="13">
        <v>9.5023169874090652</v>
      </c>
      <c r="L23" s="120">
        <v>0</v>
      </c>
      <c r="M23" s="13">
        <v>-1.2345017831078442</v>
      </c>
      <c r="N23" s="149">
        <v>7.0563362380266392</v>
      </c>
      <c r="O23" s="107"/>
      <c r="P23" s="96"/>
      <c r="Q23" s="96"/>
    </row>
    <row r="24" spans="1:18" ht="12.75" customHeight="1" x14ac:dyDescent="0.2">
      <c r="A24" s="40" t="s">
        <v>43</v>
      </c>
      <c r="B24" s="41" t="s">
        <v>10</v>
      </c>
      <c r="C24" s="41"/>
      <c r="D24" s="42"/>
      <c r="E24" s="80">
        <f>SUM(E13:E23)</f>
        <v>86.221908695535589</v>
      </c>
      <c r="F24" s="43">
        <f>SUM(F13:F23)</f>
        <v>116940</v>
      </c>
      <c r="G24" s="124">
        <f t="shared" ref="G24:I24" si="0">($E$13*G13+$E$14*G14+$E$15*G15+$E$16*G16+$E$17*G17+$E$18*G18+$E$19*G19+$E$20*G20+$E$21*G21+$E$22*G22+$E$23*G23)/$E$24</f>
        <v>3.8451651292021851</v>
      </c>
      <c r="H24" s="124">
        <f t="shared" si="0"/>
        <v>7.8953154342544991</v>
      </c>
      <c r="I24" s="124">
        <f t="shared" si="0"/>
        <v>7.5540846083341258</v>
      </c>
      <c r="J24" s="124">
        <f>($E$13*J13+$E$14*J14+$E$15*J15+$E$16*J16+$E$17*J17+$E$18*J18+$E$19*J19+$E$21*J21+$E$22*J22+$E$23*J23)/($E$24-$E$20)</f>
        <v>4.8085785437122119</v>
      </c>
      <c r="K24" s="124">
        <f>($E$13*K13+$E$14*K14+$E$15*K15+$E$16*K16+$E$17*K17+$E$18*K18+$E$19*K19+$E$21*K21+$E$22*K22+$E$23*K23)/($E$24-$E$20)</f>
        <v>6.276429508232324</v>
      </c>
      <c r="L24" s="124">
        <f>($E$13*L13+$E$22*L22)/($E$13+$E$22)</f>
        <v>3.9290341125874022</v>
      </c>
      <c r="M24" s="124">
        <f>($E$13*M13+$E$14*M14+$E$15*M15+$E$16*M16+$E$17*M17+$E$18*M18+$E$19*M19+$E$20*M20+$E$21*M21+$E$22*M22+$E$23*M23)/$E$24</f>
        <v>4.0196807129472694</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3" t="s">
        <v>29</v>
      </c>
      <c r="B26" s="12" t="s">
        <v>11</v>
      </c>
      <c r="C26" s="12" t="s">
        <v>19</v>
      </c>
      <c r="D26" s="30">
        <v>38808</v>
      </c>
      <c r="E26" s="164">
        <v>0.91100000000000003</v>
      </c>
      <c r="F26" s="76">
        <v>697</v>
      </c>
      <c r="G26" s="119">
        <v>2.5128285544634319</v>
      </c>
      <c r="H26" s="122">
        <v>5.5063934575913409</v>
      </c>
      <c r="I26" s="122">
        <v>4.7012272842702485</v>
      </c>
      <c r="J26" s="122">
        <v>3.1525370950088005</v>
      </c>
      <c r="K26" s="122">
        <v>4.3577497306729773</v>
      </c>
      <c r="L26" s="122" t="s">
        <v>71</v>
      </c>
      <c r="M26" s="160">
        <v>4.9060029284544449</v>
      </c>
      <c r="N26" s="95">
        <v>4.7551777486180002</v>
      </c>
      <c r="O26" s="95"/>
      <c r="P26" s="94"/>
      <c r="Q26" s="94"/>
      <c r="R26" s="17"/>
    </row>
    <row r="27" spans="1:18" ht="12.75" customHeight="1" x14ac:dyDescent="0.2">
      <c r="A27" s="72" t="s">
        <v>16</v>
      </c>
      <c r="B27" s="29" t="s">
        <v>11</v>
      </c>
      <c r="C27" s="29" t="s">
        <v>23</v>
      </c>
      <c r="D27" s="30">
        <v>37816</v>
      </c>
      <c r="E27" s="166">
        <v>1.7192617322192856</v>
      </c>
      <c r="F27" s="31">
        <v>1609</v>
      </c>
      <c r="G27" s="121">
        <v>5.0842565659470651</v>
      </c>
      <c r="H27" s="122">
        <v>9.3655877241988428</v>
      </c>
      <c r="I27" s="122">
        <v>6.1133506541732441</v>
      </c>
      <c r="J27" s="122">
        <v>3.3087020210238016</v>
      </c>
      <c r="K27" s="122">
        <v>5.2070423214783279</v>
      </c>
      <c r="L27" s="122">
        <v>2.6172388975769234</v>
      </c>
      <c r="M27" s="122">
        <v>2.4317723386018786</v>
      </c>
      <c r="N27" s="107">
        <v>7.346407153983181</v>
      </c>
      <c r="O27" s="107"/>
      <c r="P27" s="96"/>
      <c r="Q27" s="96"/>
    </row>
    <row r="28" spans="1:18" ht="12.75" customHeight="1" x14ac:dyDescent="0.2">
      <c r="A28" s="40" t="s">
        <v>43</v>
      </c>
      <c r="B28" s="41" t="s">
        <v>11</v>
      </c>
      <c r="C28" s="45"/>
      <c r="D28" s="46"/>
      <c r="E28" s="82">
        <f>SUM(E26:E27)</f>
        <v>2.6302617322192856</v>
      </c>
      <c r="F28" s="44">
        <f>SUM(F26:F27)</f>
        <v>2306</v>
      </c>
      <c r="G28" s="124">
        <f>($E$26*G26+$E$27*G27)/$E$28</f>
        <v>4.1936338230594039</v>
      </c>
      <c r="H28" s="124">
        <f>($E$26*H26+$E$27*H27)/$E$28</f>
        <v>8.0289428063894519</v>
      </c>
      <c r="I28" s="124">
        <f>($E$26*I26+$E$27*I27)/$E$28</f>
        <v>5.6242569741704598</v>
      </c>
      <c r="J28" s="124">
        <f>($E$26*J26+$E$27*J27)/$E$28</f>
        <v>3.2546137735095022</v>
      </c>
      <c r="K28" s="124">
        <f>($E$26*K26+$E$27*K27)/$E$28</f>
        <v>4.9128869753596511</v>
      </c>
      <c r="L28" s="124">
        <f>L27</f>
        <v>2.6172388975769234</v>
      </c>
      <c r="M28" s="124">
        <f>($E$26*M26+$E$27*M27)/$E$28</f>
        <v>3.288730427504253</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88.852170427754871</v>
      </c>
      <c r="F30" s="44">
        <f>F28+F24</f>
        <v>119246</v>
      </c>
      <c r="G30" s="132">
        <f t="shared" ref="G30:M30" si="1">($E$24*G24+$E$28*G28)/$E$30</f>
        <v>3.855480733941119</v>
      </c>
      <c r="H30" s="132">
        <f t="shared" si="1"/>
        <v>7.8992711616341627</v>
      </c>
      <c r="I30" s="132">
        <f t="shared" si="1"/>
        <v>7.4969565522440709</v>
      </c>
      <c r="J30" s="132">
        <f t="shared" si="1"/>
        <v>4.7625770330163704</v>
      </c>
      <c r="K30" s="132">
        <f t="shared" si="1"/>
        <v>6.2360650047294577</v>
      </c>
      <c r="L30" s="132">
        <f t="shared" si="1"/>
        <v>3.8902014680055133</v>
      </c>
      <c r="M30" s="132">
        <f t="shared" si="1"/>
        <v>3.9980426307856329</v>
      </c>
      <c r="N30" s="95"/>
      <c r="O30" s="95"/>
      <c r="P30" s="96"/>
      <c r="Q30" s="96"/>
      <c r="R30" s="25"/>
    </row>
    <row r="31" spans="1:18" s="24" customFormat="1" ht="26.25" customHeight="1" x14ac:dyDescent="0.2">
      <c r="A31" s="228" t="s">
        <v>46</v>
      </c>
      <c r="B31" s="228"/>
      <c r="C31" s="228"/>
      <c r="D31" s="228"/>
      <c r="E31" s="84">
        <f>SUM(E10,E30)</f>
        <v>193.75246054638797</v>
      </c>
      <c r="F31" s="63">
        <f>SUM(F10, F30)</f>
        <v>214364</v>
      </c>
      <c r="G31" s="203"/>
      <c r="H31" s="229"/>
      <c r="I31" s="230"/>
      <c r="J31" s="230"/>
      <c r="K31" s="230"/>
      <c r="L31" s="230"/>
      <c r="M31" s="231"/>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12" t="s">
        <v>10</v>
      </c>
      <c r="C34" s="12" t="s">
        <v>20</v>
      </c>
      <c r="D34" s="30">
        <v>36495</v>
      </c>
      <c r="E34" s="206">
        <v>57.473999999999997</v>
      </c>
      <c r="F34" s="207">
        <v>12189</v>
      </c>
      <c r="G34" s="208">
        <v>2.56</v>
      </c>
      <c r="H34" s="208">
        <v>5.21</v>
      </c>
      <c r="I34" s="208">
        <v>4.92</v>
      </c>
      <c r="J34" s="208">
        <v>4.0199999999999996</v>
      </c>
      <c r="K34" s="208">
        <v>5.57</v>
      </c>
      <c r="L34" s="208">
        <v>4.99</v>
      </c>
      <c r="M34" s="209">
        <v>7.42</v>
      </c>
      <c r="N34" s="106">
        <v>3.63</v>
      </c>
      <c r="O34" s="106"/>
      <c r="P34" s="96"/>
      <c r="Q34" s="96"/>
    </row>
    <row r="35" spans="1:18" ht="31.5" customHeight="1" x14ac:dyDescent="0.2">
      <c r="A35" s="232" t="s">
        <v>33</v>
      </c>
      <c r="B35" s="233"/>
      <c r="C35" s="233"/>
      <c r="D35" s="234"/>
      <c r="E35" s="115">
        <f>E31+E34</f>
        <v>251.22646054638795</v>
      </c>
      <c r="F35" s="116">
        <f>F31+F34</f>
        <v>226553</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5" t="s">
        <v>81</v>
      </c>
      <c r="B36" s="236"/>
      <c r="C36" s="236"/>
      <c r="D36" s="236"/>
      <c r="E36" s="236"/>
      <c r="F36" s="236"/>
      <c r="G36" s="236"/>
      <c r="H36" s="236"/>
      <c r="I36" s="236"/>
      <c r="J36" s="236"/>
      <c r="K36" s="236"/>
      <c r="L36" s="236"/>
      <c r="M36" s="237"/>
      <c r="N36" s="15"/>
      <c r="O36" s="15"/>
    </row>
    <row r="37" spans="1:18" s="4" customFormat="1" ht="24" customHeight="1" x14ac:dyDescent="0.2">
      <c r="A37" s="238" t="s">
        <v>31</v>
      </c>
      <c r="B37" s="239"/>
      <c r="C37" s="239"/>
      <c r="D37" s="239"/>
      <c r="E37" s="239"/>
      <c r="F37" s="239"/>
      <c r="G37" s="239"/>
      <c r="H37" s="239"/>
      <c r="I37" s="239"/>
      <c r="J37" s="239"/>
      <c r="K37" s="239"/>
      <c r="L37" s="239"/>
      <c r="M37" s="240"/>
      <c r="N37" s="19"/>
      <c r="O37" s="19"/>
      <c r="P37" s="98"/>
      <c r="Q37" s="98"/>
    </row>
    <row r="38" spans="1:18" s="4" customFormat="1" ht="24" customHeight="1" x14ac:dyDescent="0.2">
      <c r="A38" s="200" t="s">
        <v>55</v>
      </c>
      <c r="B38" s="201"/>
      <c r="C38" s="201"/>
      <c r="D38" s="201"/>
      <c r="E38" s="201"/>
      <c r="F38" s="201"/>
      <c r="G38" s="201"/>
      <c r="H38" s="201"/>
      <c r="I38" s="201"/>
      <c r="J38" s="201"/>
      <c r="K38" s="201"/>
      <c r="L38" s="201"/>
      <c r="M38" s="202"/>
      <c r="N38" s="19"/>
      <c r="O38" s="19"/>
      <c r="P38" s="98"/>
      <c r="Q38" s="98"/>
    </row>
    <row r="39" spans="1:18" ht="22.5" customHeight="1" x14ac:dyDescent="0.2">
      <c r="B39" s="11"/>
      <c r="C39" s="11"/>
      <c r="D39" s="11"/>
      <c r="E39" s="241" t="s">
        <v>52</v>
      </c>
      <c r="F39" s="242"/>
      <c r="G39" s="140">
        <f>($E$10*G10+$E$24*G24+$E$28*G28+$E$34*G34)/$E$35</f>
        <v>3.2535688459942667</v>
      </c>
      <c r="H39" s="140">
        <f>($E$10*H10+$E$24*H24+$E$28*H28+$E$34*H34)/$E$35</f>
        <v>6.2427866199192188</v>
      </c>
      <c r="I39" s="140">
        <f t="shared" ref="I39:M39" si="2">($E$10*I10+$E$24*I24+$E$28*I28+$E$34*I34)/$E$35</f>
        <v>5.8540438379147561</v>
      </c>
      <c r="J39" s="140">
        <f t="shared" si="2"/>
        <v>4.1916454022260368</v>
      </c>
      <c r="K39" s="140">
        <f t="shared" si="2"/>
        <v>5.7186037879507978</v>
      </c>
      <c r="L39" s="140">
        <f t="shared" si="2"/>
        <v>4.3654423366279342</v>
      </c>
      <c r="M39" s="140">
        <f t="shared" si="2"/>
        <v>5.5097195697046253</v>
      </c>
      <c r="N39" s="16"/>
      <c r="O39" s="16"/>
    </row>
    <row r="40" spans="1:18" ht="16.5" customHeight="1" x14ac:dyDescent="0.2">
      <c r="B40" s="10"/>
      <c r="C40" s="10"/>
      <c r="D40" s="10"/>
      <c r="E40" s="20"/>
      <c r="F40" s="77" t="s">
        <v>51</v>
      </c>
      <c r="G40" s="141"/>
      <c r="H40" s="141">
        <f>H39-'MAI-2014'!H39</f>
        <v>3.0229185351894778</v>
      </c>
      <c r="I40" s="141">
        <f>I39-'MAI-2014'!I39</f>
        <v>-8.2132601193345423E-2</v>
      </c>
      <c r="J40" s="141">
        <f>J39-'MAI-2014'!J39</f>
        <v>0.44818279692751295</v>
      </c>
      <c r="K40" s="141">
        <f>K39-'MAI-2014'!K39</f>
        <v>-2.0469045371041439E-2</v>
      </c>
      <c r="L40" s="141">
        <f>L39-'MAI-2014'!L39</f>
        <v>3.1555278010783283E-2</v>
      </c>
      <c r="M40" s="141">
        <f>M39-'MAI-2014'!M39</f>
        <v>2.1526075738397488E-2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79</v>
      </c>
      <c r="B44" s="150"/>
      <c r="C44" s="150"/>
      <c r="D44" s="24"/>
      <c r="E44" s="151">
        <f>E35-'DEC-2013'!$E$38</f>
        <v>15.605990328708856</v>
      </c>
      <c r="F44" s="152">
        <f>E44/'DEC-2013'!$E$38</f>
        <v>6.6233593007819683E-2</v>
      </c>
      <c r="H44" s="6"/>
      <c r="I44" s="6"/>
      <c r="J44" s="6"/>
      <c r="K44" s="6"/>
      <c r="L44" s="6"/>
      <c r="M44" s="6"/>
      <c r="N44" s="86"/>
      <c r="O44" s="86"/>
      <c r="P44" s="91"/>
    </row>
    <row r="45" spans="1:18" x14ac:dyDescent="0.2">
      <c r="A45" s="24" t="s">
        <v>80</v>
      </c>
      <c r="B45" s="150"/>
      <c r="C45" s="150"/>
      <c r="D45" s="24"/>
      <c r="E45" s="153">
        <f>F35-'DEC-2013'!$F$38</f>
        <v>6073</v>
      </c>
      <c r="F45" s="152">
        <f>E45/'DEC-2013'!$F$38</f>
        <v>2.7544448476052249E-2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DEC-2013</vt:lpstr>
      <vt:lpstr>JAN-2014</vt:lpstr>
      <vt:lpstr>FEB-2014</vt:lpstr>
      <vt:lpstr>MAR-2014</vt:lpstr>
      <vt:lpstr>APR-2014</vt:lpstr>
      <vt:lpstr>MAI-2014</vt:lpstr>
      <vt:lpstr>JUN-2014</vt:lpstr>
    </vt:vector>
  </TitlesOfParts>
  <Company>BTB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gezered</dc:creator>
  <cp:lastModifiedBy>Dace Brencēna</cp:lastModifiedBy>
  <cp:lastPrinted>2014-07-15T13:22:05Z</cp:lastPrinted>
  <dcterms:created xsi:type="dcterms:W3CDTF">2007-05-09T12:50:46Z</dcterms:created>
  <dcterms:modified xsi:type="dcterms:W3CDTF">2014-07-15T13:22:24Z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