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1"/>
  </bookViews>
  <sheets>
    <sheet name="DEC-2013" sheetId="20" r:id="rId1"/>
    <sheet name="JAN-2014" sheetId="21" r:id="rId2"/>
  </sheets>
  <calcPr calcId="145621"/>
</workbook>
</file>

<file path=xl/calcChain.xml><?xml version="1.0" encoding="utf-8"?>
<calcChain xmlns="http://schemas.openxmlformats.org/spreadsheetml/2006/main">
  <c r="L32" i="21" l="1"/>
  <c r="E50" i="21"/>
  <c r="F50" i="21" s="1"/>
  <c r="E49" i="21"/>
  <c r="F49" i="21" s="1"/>
  <c r="M45" i="21"/>
  <c r="L45" i="21"/>
  <c r="K45" i="21"/>
  <c r="J45" i="21"/>
  <c r="I45" i="21"/>
  <c r="H45" i="21"/>
  <c r="E39" i="20" l="1"/>
  <c r="F32" i="21" l="1"/>
  <c r="P32" i="21" s="1"/>
  <c r="Q32" i="21" s="1"/>
  <c r="E32" i="21"/>
  <c r="J32" i="21" s="1"/>
  <c r="F28" i="21"/>
  <c r="P28" i="21" s="1"/>
  <c r="Q28" i="21" s="1"/>
  <c r="E28" i="21"/>
  <c r="N28" i="21" s="1"/>
  <c r="O28" i="21" s="1"/>
  <c r="L21" i="21"/>
  <c r="F21" i="21"/>
  <c r="P21" i="21" s="1"/>
  <c r="Q21" i="21" s="1"/>
  <c r="E21" i="21"/>
  <c r="H21" i="21" s="1"/>
  <c r="F10" i="21"/>
  <c r="P10" i="21" s="1"/>
  <c r="Q10" i="21" s="1"/>
  <c r="E10" i="21"/>
  <c r="L10" i="21" s="1"/>
  <c r="L11" i="21" s="1"/>
  <c r="H28" i="21" l="1"/>
  <c r="L28" i="21"/>
  <c r="G28" i="21"/>
  <c r="K32" i="21"/>
  <c r="G32" i="21"/>
  <c r="H32" i="21"/>
  <c r="M32" i="21"/>
  <c r="H10" i="21"/>
  <c r="H11" i="21" s="1"/>
  <c r="K28" i="21"/>
  <c r="E34" i="21"/>
  <c r="E35" i="21" s="1"/>
  <c r="E39" i="21" s="1"/>
  <c r="F34" i="21"/>
  <c r="F35" i="21" s="1"/>
  <c r="F39" i="21" s="1"/>
  <c r="I10" i="21"/>
  <c r="I11" i="21" s="1"/>
  <c r="M10" i="21"/>
  <c r="M11" i="21" s="1"/>
  <c r="I21" i="21"/>
  <c r="M21" i="21"/>
  <c r="J10" i="21"/>
  <c r="J11" i="21" s="1"/>
  <c r="N10" i="21"/>
  <c r="O10" i="21" s="1"/>
  <c r="J21" i="21"/>
  <c r="N21" i="21"/>
  <c r="O21" i="21" s="1"/>
  <c r="I28" i="21"/>
  <c r="M28" i="21"/>
  <c r="L34" i="21"/>
  <c r="G10" i="21"/>
  <c r="K10" i="21"/>
  <c r="G21" i="21"/>
  <c r="K21" i="21"/>
  <c r="J28" i="21"/>
  <c r="I32" i="21"/>
  <c r="N32" i="21"/>
  <c r="O32" i="21" s="1"/>
  <c r="H11" i="20"/>
  <c r="I11" i="20"/>
  <c r="J11" i="20"/>
  <c r="K11" i="20"/>
  <c r="L11" i="20"/>
  <c r="M11" i="20"/>
  <c r="G11" i="20"/>
  <c r="M32" i="20"/>
  <c r="K32" i="20"/>
  <c r="J32" i="20"/>
  <c r="I32" i="20"/>
  <c r="H32" i="20"/>
  <c r="G32" i="20"/>
  <c r="M28" i="20"/>
  <c r="L28" i="20"/>
  <c r="L34" i="20"/>
  <c r="K28" i="20"/>
  <c r="J28" i="20"/>
  <c r="J34" i="20"/>
  <c r="I28" i="20"/>
  <c r="H28" i="20"/>
  <c r="G28" i="20"/>
  <c r="M21" i="20"/>
  <c r="M34" i="20"/>
  <c r="K21" i="20"/>
  <c r="J21" i="20"/>
  <c r="I21" i="20"/>
  <c r="I34" i="20"/>
  <c r="H21" i="20"/>
  <c r="G21" i="20"/>
  <c r="M10" i="20"/>
  <c r="L10" i="20"/>
  <c r="K10" i="20"/>
  <c r="J10" i="20"/>
  <c r="I10" i="20"/>
  <c r="H10" i="20"/>
  <c r="G10" i="20"/>
  <c r="L21" i="20"/>
  <c r="G34" i="20"/>
  <c r="K34" i="20"/>
  <c r="H34" i="20"/>
  <c r="F32" i="20"/>
  <c r="P32" i="20"/>
  <c r="Q32" i="20" s="1"/>
  <c r="E32" i="20"/>
  <c r="F28" i="20"/>
  <c r="P28" i="20"/>
  <c r="Q28" i="20" s="1"/>
  <c r="E28" i="20"/>
  <c r="N28" i="20"/>
  <c r="O28" i="20" s="1"/>
  <c r="F21" i="20"/>
  <c r="P21" i="20"/>
  <c r="Q21" i="20"/>
  <c r="E21" i="20"/>
  <c r="N21" i="20"/>
  <c r="O21" i="20" s="1"/>
  <c r="F10" i="20"/>
  <c r="P10" i="20"/>
  <c r="Q10" i="20" s="1"/>
  <c r="E10" i="20"/>
  <c r="E34" i="20"/>
  <c r="E35" i="20"/>
  <c r="F34" i="20"/>
  <c r="F35" i="20"/>
  <c r="F39" i="20"/>
  <c r="N10" i="20"/>
  <c r="O10" i="20" s="1"/>
  <c r="N32" i="20"/>
  <c r="O32" i="20" s="1"/>
  <c r="G44" i="20"/>
  <c r="H44" i="20"/>
  <c r="L44" i="20"/>
  <c r="K44" i="20"/>
  <c r="E50" i="20"/>
  <c r="F50" i="20" s="1"/>
  <c r="P39" i="20"/>
  <c r="Q39" i="20" s="1"/>
  <c r="E49" i="20"/>
  <c r="F49" i="20" s="1"/>
  <c r="N39" i="20"/>
  <c r="O39" i="20" s="1"/>
  <c r="M44" i="20"/>
  <c r="J44" i="20"/>
  <c r="I44" i="20"/>
  <c r="M34" i="21" l="1"/>
  <c r="K34" i="21"/>
  <c r="M44" i="21"/>
  <c r="G34" i="21"/>
  <c r="H34" i="21"/>
  <c r="I34" i="21"/>
  <c r="I44" i="21"/>
  <c r="L44" i="21"/>
  <c r="N39" i="21"/>
  <c r="O39" i="21" s="1"/>
  <c r="H44" i="21"/>
  <c r="G11" i="21"/>
  <c r="G44" i="21"/>
  <c r="J34" i="21"/>
  <c r="J44" i="21"/>
  <c r="K11" i="21"/>
  <c r="K44" i="21"/>
  <c r="P39" i="21"/>
  <c r="Q39" i="21" s="1"/>
</calcChain>
</file>

<file path=xl/sharedStrings.xml><?xml version="1.0" encoding="utf-8"?>
<sst xmlns="http://schemas.openxmlformats.org/spreadsheetml/2006/main" count="196" uniqueCount="69">
  <si>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</si>
  <si>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</si>
  <si>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</si>
  <si>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</si>
  <si>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</si>
  <si>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</si>
  <si>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</si>
  <si>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</si>
  <si>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</si>
  <si>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</si>
  <si>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</si>
  <si>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</si>
  <si>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</si>
  <si>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</si>
  <si>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</si>
  <si>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</si>
  <si>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</si>
  <si>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</si>
  <si>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</si>
  <si>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</si>
  <si>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</si>
  <si>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</si>
  <si>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</si>
  <si>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</si>
  <si>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</si>
  <si>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</si>
  <si>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</si>
  <si>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</si>
  <si>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</si>
  <si>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</si>
  <si>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</si>
  <si>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</si>
  <si>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</si>
  <si>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</si>
  <si>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</si>
  <si>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</si>
  <si>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</si>
  <si>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</si>
  <si>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</si>
  <si>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</si>
  <si>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</si>
  <si>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</si>
  <si>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</si>
  <si>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</si>
  <si>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</si>
  <si>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</si>
  <si>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</si>
  <si>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</si>
  <si>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</si>
  <si>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</si>
  <si>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</si>
  <si>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</si>
  <si>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</si>
  <si>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</si>
  <si>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</si>
  <si>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</si>
  <si>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</si>
  <si>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</si>
  <si>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</si>
  <si>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Sakarā ar GE Money pensiju plānu "Rumba"un "Tvists" nodošanu Citadele atklātajam pensiju fondam, ienesīgumi pagaidām netiek norādīti</t>
  </si>
  <si>
    <t>Pārskats par privāto pensiju fondu (PENSIJU 3.LĪMENIS) pensiju plāniem  31.12.2013</t>
  </si>
  <si>
    <t>Aktīvu pieaugums 12M 2013</t>
  </si>
  <si>
    <t>Dalībnieku skaita pieaugums 12M 2013</t>
  </si>
  <si>
    <t>Kopā ar Slēgto pensiju fondu</t>
  </si>
  <si>
    <t>Pārskats par privāto pensiju fondu (PENSIJU 3.LĪMENIS) pensiju plāniem  31.01.2014</t>
  </si>
  <si>
    <t>Kopējā neto aktīvu vērtība (milj.EUR)</t>
  </si>
  <si>
    <t>Aktīvu pieaugums 1M 2014</t>
  </si>
  <si>
    <t>Dalībnieku skaita pieaugums 1M 2014</t>
  </si>
  <si>
    <t>KOPĀ VISI PENSIJU 3.LĪMEŅA PENSIJU PLĀNI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</si>
</sst>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sz val="9"/>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39997558519241921"/>
        <bgColor indexed="64"/>
      </patternFill>
    </fill>
    <fill>
      <patternFill patternType="solid">
        <fgColor rgb="FFF2F2F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4" fillId="11" borderId="19" applyNumberFormat="0" applyAlignment="0" applyProtection="0"/>
  </cellStyleXfs>
  <cellXfs count="21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Border="1" applyAlignment="1">
      <alignment horizontal="right"/>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3" fontId="4" fillId="0" borderId="3" xfId="0" applyNumberFormat="1" applyFont="1" applyBorder="1" applyAlignment="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3" fontId="4" fillId="0" borderId="1" xfId="0" applyNumberFormat="1" applyFont="1" applyBorder="1" applyAlignment="1"/>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0" borderId="1" xfId="0" applyNumberFormat="1" applyFont="1" applyFill="1" applyBorder="1"/>
    <xf numFmtId="164" fontId="18" fillId="0" borderId="1" xfId="0" applyNumberFormat="1" applyFont="1" applyFill="1" applyBorder="1" applyAlignment="1">
      <alignment horizontal="right"/>
    </xf>
    <xf numFmtId="164" fontId="18" fillId="0" borderId="1" xfId="0" applyNumberFormat="1" applyFont="1" applyFill="1" applyBorder="1" applyAlignment="1"/>
    <xf numFmtId="164" fontId="18" fillId="0" borderId="2" xfId="0" applyNumberFormat="1" applyFont="1" applyBorder="1" applyAlignment="1"/>
    <xf numFmtId="164" fontId="19"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0" borderId="1" xfId="0" applyNumberFormat="1" applyFont="1" applyBorder="1" applyAlignment="1"/>
    <xf numFmtId="164" fontId="19" fillId="2" borderId="1" xfId="2" applyNumberFormat="1" applyFont="1" applyFill="1" applyBorder="1" applyAlignment="1"/>
    <xf numFmtId="164" fontId="19" fillId="0" borderId="0" xfId="2" applyNumberFormat="1" applyFont="1" applyFill="1" applyBorder="1" applyAlignment="1"/>
    <xf numFmtId="164" fontId="19" fillId="2" borderId="1" xfId="0" applyNumberFormat="1" applyFont="1" applyFill="1" applyBorder="1" applyAlignment="1"/>
    <xf numFmtId="164" fontId="19" fillId="0" borderId="0" xfId="0" applyNumberFormat="1" applyFont="1" applyFill="1" applyBorder="1" applyAlignment="1"/>
    <xf numFmtId="164" fontId="19"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20"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2" fillId="0" borderId="0" xfId="0" applyFont="1" applyAlignment="1"/>
    <xf numFmtId="0" fontId="21"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3"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3" fontId="4" fillId="0" borderId="4" xfId="0" applyNumberFormat="1" applyFont="1" applyBorder="1" applyAlignment="1"/>
    <xf numFmtId="164" fontId="11" fillId="6" borderId="10"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0" applyNumberFormat="1" applyFont="1" applyBorder="1" applyAlignment="1"/>
    <xf numFmtId="4" fontId="4" fillId="0" borderId="1" xfId="2" applyNumberFormat="1" applyFont="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4" fillId="0" borderId="1" xfId="0" applyNumberFormat="1" applyFont="1" applyBorder="1" applyAlignment="1">
      <alignment horizontal="right"/>
    </xf>
    <xf numFmtId="4" fontId="4" fillId="0" borderId="1" xfId="2" applyNumberFormat="1" applyFont="1" applyBorder="1" applyAlignment="1">
      <alignment horizontal="right"/>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164" fontId="4" fillId="0" borderId="1" xfId="0" applyNumberFormat="1"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4" fontId="4" fillId="11" borderId="1" xfId="4" applyNumberFormat="1" applyFont="1" applyBorder="1" applyAlignment="1"/>
    <xf numFmtId="4" fontId="4" fillId="11" borderId="1" xfId="4" applyNumberFormat="1" applyFont="1" applyBorder="1" applyAlignment="1">
      <alignment horizontal="right" wrapText="1"/>
    </xf>
    <xf numFmtId="2" fontId="4" fillId="11" borderId="1" xfId="4" applyNumberFormat="1" applyFont="1" applyBorder="1" applyAlignment="1">
      <alignment horizontal="right" wrapText="1"/>
    </xf>
    <xf numFmtId="2" fontId="4" fillId="4" borderId="13"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2" fontId="10" fillId="0" borderId="0" xfId="0" applyNumberFormat="1" applyFont="1" applyFill="1"/>
    <xf numFmtId="164" fontId="19" fillId="0" borderId="0" xfId="0" applyNumberFormat="1" applyFont="1" applyFill="1" applyBorder="1" applyAlignment="1">
      <alignment horizontal="right"/>
    </xf>
    <xf numFmtId="9" fontId="8" fillId="0" borderId="0" xfId="2" applyNumberFormat="1" applyFont="1" applyFill="1" applyBorder="1" applyAlignment="1">
      <alignment horizontal="right" wrapText="1"/>
    </xf>
    <xf numFmtId="3" fontId="8" fillId="0" borderId="0" xfId="0" applyNumberFormat="1" applyFont="1" applyFill="1" applyAlignment="1"/>
    <xf numFmtId="9" fontId="8" fillId="0" borderId="0" xfId="2" applyFont="1" applyFill="1" applyAlignment="1"/>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2" xfId="0" applyNumberFormat="1" applyFont="1" applyFill="1" applyBorder="1" applyAlignment="1"/>
    <xf numFmtId="4" fontId="3" fillId="4" borderId="13"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11" fillId="6" borderId="16" xfId="0" applyFont="1" applyFill="1" applyBorder="1" applyAlignment="1">
      <alignment horizontal="left" wrapText="1"/>
    </xf>
    <xf numFmtId="0" fontId="11" fillId="6" borderId="0" xfId="0" applyFont="1" applyFill="1" applyBorder="1" applyAlignment="1">
      <alignment horizontal="left" wrapText="1"/>
    </xf>
    <xf numFmtId="0" fontId="11" fillId="6" borderId="17" xfId="0" applyFont="1" applyFill="1" applyBorder="1" applyAlignment="1">
      <alignment horizontal="left" wrapText="1"/>
    </xf>
    <xf numFmtId="0" fontId="13" fillId="0" borderId="3" xfId="0" applyNumberFormat="1" applyFont="1" applyBorder="1" applyAlignment="1">
      <alignment horizontal="left" wrapText="1"/>
    </xf>
    <xf numFmtId="0" fontId="13" fillId="0" borderId="11" xfId="0" applyNumberFormat="1" applyFont="1" applyBorder="1" applyAlignment="1">
      <alignment horizontal="left" wrapText="1"/>
    </xf>
    <xf numFmtId="0" fontId="14" fillId="0" borderId="18"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10" borderId="9" xfId="0" applyFont="1" applyFill="1" applyBorder="1" applyAlignment="1">
      <alignment horizontal="left"/>
    </xf>
    <xf numFmtId="0" fontId="13" fillId="10" borderId="14" xfId="0" applyFont="1" applyFill="1" applyBorder="1" applyAlignment="1">
      <alignment horizontal="left"/>
    </xf>
    <xf numFmtId="0" fontId="13" fillId="10" borderId="15" xfId="0" applyFont="1" applyFill="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cellXfs>
  <cellStyles count="5">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Normal="90" workbookViewId="0">
      <pane ySplit="3" topLeftCell="A25" activePane="bottomLeft" state="frozen"/>
      <selection pane="bottomLeft" activeCell="J46" sqref="J46"/>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4" customWidth="1"/>
    <col min="6" max="6" width="11.5703125" style="86" customWidth="1"/>
    <col min="7" max="7" width="9.5703125" style="86" customWidth="1"/>
    <col min="8" max="13" width="9" style="1" customWidth="1"/>
    <col min="14" max="15" width="9" style="109" hidden="1" customWidth="1"/>
    <col min="16" max="17" width="9.140625" style="96" hidden="1" customWidth="1"/>
    <col min="18" max="16384" width="9.140625" style="1"/>
  </cols>
  <sheetData>
    <row r="1" spans="1:17" s="3" customFormat="1" ht="27" customHeight="1" x14ac:dyDescent="0.25">
      <c r="A1" s="186" t="s">
        <v>60</v>
      </c>
      <c r="B1" s="186"/>
      <c r="C1" s="186"/>
      <c r="D1" s="186"/>
      <c r="E1" s="186"/>
      <c r="F1" s="186"/>
      <c r="G1" s="186"/>
      <c r="H1" s="186"/>
      <c r="I1" s="186"/>
      <c r="J1" s="186"/>
      <c r="K1" s="186"/>
      <c r="L1" s="186"/>
      <c r="M1" s="186"/>
      <c r="N1" s="15"/>
      <c r="O1" s="15"/>
      <c r="P1" s="95"/>
      <c r="Q1" s="95"/>
    </row>
    <row r="2" spans="1:17" ht="24" customHeight="1" x14ac:dyDescent="0.2">
      <c r="A2" s="187" t="s">
        <v>0</v>
      </c>
      <c r="B2" s="188" t="s">
        <v>12</v>
      </c>
      <c r="C2" s="189" t="s">
        <v>18</v>
      </c>
      <c r="D2" s="190" t="s">
        <v>37</v>
      </c>
      <c r="E2" s="191" t="s">
        <v>1</v>
      </c>
      <c r="F2" s="192" t="s">
        <v>2</v>
      </c>
      <c r="G2" s="193" t="s">
        <v>3</v>
      </c>
      <c r="H2" s="194"/>
      <c r="I2" s="194"/>
      <c r="J2" s="194"/>
      <c r="K2" s="194"/>
      <c r="L2" s="194"/>
      <c r="M2" s="195"/>
      <c r="N2" s="20"/>
      <c r="O2" s="20"/>
    </row>
    <row r="3" spans="1:17" ht="42.75" customHeight="1" x14ac:dyDescent="0.2">
      <c r="A3" s="187"/>
      <c r="B3" s="188"/>
      <c r="C3" s="189"/>
      <c r="D3" s="190"/>
      <c r="E3" s="191"/>
      <c r="F3" s="192"/>
      <c r="G3" s="127" t="s">
        <v>54</v>
      </c>
      <c r="H3" s="156" t="s">
        <v>4</v>
      </c>
      <c r="I3" s="156" t="s">
        <v>5</v>
      </c>
      <c r="J3" s="156" t="s">
        <v>6</v>
      </c>
      <c r="K3" s="156" t="s">
        <v>7</v>
      </c>
      <c r="L3" s="126" t="s">
        <v>55</v>
      </c>
      <c r="M3" s="157" t="s">
        <v>8</v>
      </c>
      <c r="N3" s="196" t="s">
        <v>49</v>
      </c>
      <c r="O3" s="197"/>
      <c r="P3" s="196" t="s">
        <v>50</v>
      </c>
      <c r="Q3" s="198"/>
    </row>
    <row r="4" spans="1:17" ht="26.25" customHeight="1" x14ac:dyDescent="0.2">
      <c r="A4" s="199" t="s">
        <v>47</v>
      </c>
      <c r="B4" s="200"/>
      <c r="C4" s="200"/>
      <c r="D4" s="200"/>
      <c r="E4" s="200"/>
      <c r="F4" s="200"/>
      <c r="G4" s="200"/>
      <c r="H4" s="200"/>
      <c r="I4" s="200"/>
      <c r="J4" s="200"/>
      <c r="K4" s="200"/>
      <c r="L4" s="200"/>
      <c r="M4" s="201"/>
      <c r="N4" s="93"/>
      <c r="O4" s="93"/>
    </row>
    <row r="5" spans="1:17" ht="23.25" customHeight="1" x14ac:dyDescent="0.2">
      <c r="A5" s="202" t="s">
        <v>42</v>
      </c>
      <c r="B5" s="202"/>
      <c r="C5" s="202"/>
      <c r="D5" s="202"/>
      <c r="E5" s="202"/>
      <c r="F5" s="202"/>
      <c r="G5" s="202"/>
      <c r="H5" s="202"/>
      <c r="I5" s="202"/>
      <c r="J5" s="202"/>
      <c r="K5" s="202"/>
      <c r="L5" s="202"/>
      <c r="M5" s="202"/>
      <c r="N5" s="20"/>
      <c r="O5" s="20"/>
    </row>
    <row r="6" spans="1:17" x14ac:dyDescent="0.2">
      <c r="A6" s="72" t="s">
        <v>27</v>
      </c>
      <c r="B6" s="30" t="s">
        <v>9</v>
      </c>
      <c r="C6" s="30" t="s">
        <v>26</v>
      </c>
      <c r="D6" s="31">
        <v>36433</v>
      </c>
      <c r="E6" s="78">
        <v>14.667999999999999</v>
      </c>
      <c r="F6" s="83">
        <v>26760</v>
      </c>
      <c r="G6" s="128">
        <v>3.4683756140811761</v>
      </c>
      <c r="H6" s="132">
        <v>3.4683756140811761</v>
      </c>
      <c r="I6" s="132">
        <v>6.1530270461985337</v>
      </c>
      <c r="J6" s="132">
        <v>3.0977672805034828</v>
      </c>
      <c r="K6" s="132">
        <v>6.391946918334912</v>
      </c>
      <c r="L6" s="132">
        <v>3.7731903129160749</v>
      </c>
      <c r="M6" s="132">
        <v>5.7776297823537659</v>
      </c>
      <c r="N6" s="97">
        <v>5.8035482472820421</v>
      </c>
      <c r="O6" s="97"/>
    </row>
    <row r="7" spans="1:17" s="2" customFormat="1" ht="12.75" customHeight="1" x14ac:dyDescent="0.2">
      <c r="A7" s="73" t="s">
        <v>34</v>
      </c>
      <c r="B7" s="30" t="s">
        <v>9</v>
      </c>
      <c r="C7" s="30" t="s">
        <v>21</v>
      </c>
      <c r="D7" s="33">
        <v>40834</v>
      </c>
      <c r="E7" s="79">
        <v>1.9370000000000001</v>
      </c>
      <c r="F7" s="34">
        <v>2585</v>
      </c>
      <c r="G7" s="129">
        <v>-0.13</v>
      </c>
      <c r="H7" s="129">
        <v>-0.13</v>
      </c>
      <c r="I7" s="129">
        <v>4.16</v>
      </c>
      <c r="J7" s="129"/>
      <c r="K7" s="129"/>
      <c r="L7" s="129"/>
      <c r="M7" s="133">
        <v>3.97</v>
      </c>
      <c r="N7" s="98">
        <v>0.88</v>
      </c>
      <c r="O7" s="98"/>
      <c r="P7" s="99"/>
      <c r="Q7" s="99"/>
    </row>
    <row r="8" spans="1:17" s="2" customFormat="1" ht="12.75" customHeight="1" x14ac:dyDescent="0.2">
      <c r="A8" s="73" t="s">
        <v>38</v>
      </c>
      <c r="B8" s="12" t="s">
        <v>9</v>
      </c>
      <c r="C8" s="12" t="s">
        <v>21</v>
      </c>
      <c r="D8" s="31">
        <v>36738</v>
      </c>
      <c r="E8" s="80">
        <v>42.314557999999998</v>
      </c>
      <c r="F8" s="32">
        <v>40476</v>
      </c>
      <c r="G8" s="163">
        <v>1.08</v>
      </c>
      <c r="H8" s="164">
        <v>1.08</v>
      </c>
      <c r="I8" s="164">
        <v>4.63</v>
      </c>
      <c r="J8" s="164">
        <v>2.79</v>
      </c>
      <c r="K8" s="164">
        <v>4.96</v>
      </c>
      <c r="L8" s="164">
        <v>4.43</v>
      </c>
      <c r="M8" s="164">
        <v>4.92</v>
      </c>
      <c r="N8" s="100">
        <v>2.13</v>
      </c>
      <c r="O8" s="100"/>
      <c r="P8" s="99"/>
      <c r="Q8" s="99"/>
    </row>
    <row r="9" spans="1:17" ht="12.75" customHeight="1" x14ac:dyDescent="0.2">
      <c r="A9" s="74" t="s">
        <v>13</v>
      </c>
      <c r="B9" s="35" t="s">
        <v>9</v>
      </c>
      <c r="C9" s="35" t="s">
        <v>21</v>
      </c>
      <c r="D9" s="36">
        <v>37816</v>
      </c>
      <c r="E9" s="81">
        <v>10.0295331203255</v>
      </c>
      <c r="F9" s="41">
        <v>20590</v>
      </c>
      <c r="G9" s="131">
        <v>2.0166762365607438</v>
      </c>
      <c r="H9" s="136">
        <v>2.0166762365607438</v>
      </c>
      <c r="I9" s="136">
        <v>5.6288610844546394</v>
      </c>
      <c r="J9" s="136">
        <v>3.3889837251974697</v>
      </c>
      <c r="K9" s="133">
        <v>6.6236718272698836</v>
      </c>
      <c r="L9" s="133">
        <v>2.6990462394952175</v>
      </c>
      <c r="M9" s="133">
        <v>2.773269126295852</v>
      </c>
      <c r="N9" s="98">
        <v>3.1220809445130282</v>
      </c>
      <c r="O9" s="98"/>
    </row>
    <row r="10" spans="1:17" s="25" customFormat="1" ht="23.25" customHeight="1" x14ac:dyDescent="0.2">
      <c r="A10" s="53" t="s">
        <v>44</v>
      </c>
      <c r="B10" s="54" t="s">
        <v>9</v>
      </c>
      <c r="C10" s="54"/>
      <c r="D10" s="55"/>
      <c r="E10" s="82">
        <f>SUM(E6:E9)</f>
        <v>68.949091120325491</v>
      </c>
      <c r="F10" s="56">
        <f>SUM(F6:F9)</f>
        <v>90411</v>
      </c>
      <c r="G10" s="134">
        <f t="shared" ref="G10:M10" si="0">($E$6*G6+$E$7*G7+$E$8*G8+$E$9*G9+$E$38*G38)/($E$10+$E$38)</f>
        <v>2.0032204945613787</v>
      </c>
      <c r="H10" s="134">
        <f t="shared" si="0"/>
        <v>2.0032204945613787</v>
      </c>
      <c r="I10" s="134">
        <f t="shared" si="0"/>
        <v>5.2709804038929091</v>
      </c>
      <c r="J10" s="134">
        <f t="shared" si="0"/>
        <v>3.0425854471986193</v>
      </c>
      <c r="K10" s="134">
        <f t="shared" si="0"/>
        <v>5.5049735770470001</v>
      </c>
      <c r="L10" s="134">
        <f t="shared" si="0"/>
        <v>4.2543551896959935</v>
      </c>
      <c r="M10" s="134">
        <f t="shared" si="0"/>
        <v>5.6760334131216821</v>
      </c>
      <c r="N10" s="110" t="e">
        <f>E10-#REF!</f>
        <v>#REF!</v>
      </c>
      <c r="O10" s="111" t="e">
        <f>N10/#REF!</f>
        <v>#REF!</v>
      </c>
      <c r="P10" s="112" t="e">
        <f>F10-#REF!</f>
        <v>#REF!</v>
      </c>
      <c r="Q10" s="113" t="e">
        <f>P10/#REF!</f>
        <v>#REF!</v>
      </c>
    </row>
    <row r="11" spans="1:17" s="29" customFormat="1" ht="23.25" customHeight="1" x14ac:dyDescent="0.2">
      <c r="A11" s="71" t="s">
        <v>63</v>
      </c>
      <c r="B11" s="49"/>
      <c r="C11" s="49"/>
      <c r="D11" s="50"/>
      <c r="E11" s="178"/>
      <c r="F11" s="52"/>
      <c r="G11" s="177">
        <f t="shared" ref="G11:M11" si="1">(G10*$E$10+G38*$E$38)/($E$38+$E$10)</f>
        <v>2.2035292138515672</v>
      </c>
      <c r="H11" s="177">
        <f t="shared" si="1"/>
        <v>2.2035292138515672</v>
      </c>
      <c r="I11" s="177">
        <f t="shared" si="1"/>
        <v>5.3893495128019504</v>
      </c>
      <c r="J11" s="177">
        <f t="shared" si="1"/>
        <v>3.1567794897857731</v>
      </c>
      <c r="K11" s="177">
        <f t="shared" si="1"/>
        <v>5.5931250418450915</v>
      </c>
      <c r="L11" s="177">
        <f t="shared" si="1"/>
        <v>4.4722438424063231</v>
      </c>
      <c r="M11" s="177">
        <f t="shared" si="1"/>
        <v>6.2602766620383115</v>
      </c>
      <c r="N11" s="101"/>
      <c r="O11" s="179"/>
      <c r="P11" s="180"/>
      <c r="Q11" s="181"/>
    </row>
    <row r="12" spans="1:17" s="29" customFormat="1" ht="12" customHeight="1" x14ac:dyDescent="0.2">
      <c r="A12" s="69"/>
      <c r="B12" s="49"/>
      <c r="C12" s="49"/>
      <c r="D12" s="50"/>
      <c r="E12" s="51"/>
      <c r="F12" s="52"/>
      <c r="N12" s="101"/>
      <c r="O12" s="101"/>
      <c r="P12" s="102"/>
      <c r="Q12" s="102"/>
    </row>
    <row r="13" spans="1:17" ht="21" customHeight="1" x14ac:dyDescent="0.2">
      <c r="A13" s="203" t="s">
        <v>43</v>
      </c>
      <c r="B13" s="203"/>
      <c r="C13" s="203"/>
      <c r="D13" s="203"/>
      <c r="E13" s="203"/>
      <c r="F13" s="203"/>
      <c r="G13" s="203"/>
      <c r="H13" s="203"/>
      <c r="I13" s="203"/>
      <c r="J13" s="203"/>
      <c r="K13" s="203"/>
      <c r="L13" s="203"/>
      <c r="M13" s="203"/>
      <c r="N13" s="20"/>
      <c r="O13" s="20"/>
      <c r="P13" s="104"/>
      <c r="Q13" s="104"/>
    </row>
    <row r="14" spans="1:17" x14ac:dyDescent="0.2">
      <c r="A14" s="75" t="s">
        <v>28</v>
      </c>
      <c r="B14" s="30" t="s">
        <v>9</v>
      </c>
      <c r="C14" s="30" t="s">
        <v>19</v>
      </c>
      <c r="D14" s="31">
        <v>36606</v>
      </c>
      <c r="E14" s="78">
        <v>4.8769999999999998</v>
      </c>
      <c r="F14" s="83">
        <v>20522</v>
      </c>
      <c r="G14" s="128">
        <v>4.6435998210424545</v>
      </c>
      <c r="H14" s="132">
        <v>4.6435998210424545</v>
      </c>
      <c r="I14" s="132">
        <v>8.0549603487540367</v>
      </c>
      <c r="J14" s="132">
        <v>3.7490192205307915</v>
      </c>
      <c r="K14" s="132">
        <v>5.7214569094533596</v>
      </c>
      <c r="L14" s="132">
        <v>3.5976042244753037</v>
      </c>
      <c r="M14" s="132">
        <v>5.5762988382803025</v>
      </c>
      <c r="N14" s="103">
        <v>5.5979870798789744</v>
      </c>
      <c r="O14" s="103"/>
      <c r="P14" s="104"/>
      <c r="Q14" s="104"/>
    </row>
    <row r="15" spans="1:17" x14ac:dyDescent="0.2">
      <c r="A15" s="76" t="s">
        <v>30</v>
      </c>
      <c r="B15" s="30" t="s">
        <v>9</v>
      </c>
      <c r="C15" s="30" t="s">
        <v>20</v>
      </c>
      <c r="D15" s="31">
        <v>36091</v>
      </c>
      <c r="E15" s="79">
        <v>0.33238507000000028</v>
      </c>
      <c r="F15" s="34">
        <v>535</v>
      </c>
      <c r="G15" s="129">
        <v>3.4997632610616947</v>
      </c>
      <c r="H15" s="135">
        <v>3.4997632610616947</v>
      </c>
      <c r="I15" s="135">
        <v>5.4376531227228853</v>
      </c>
      <c r="J15" s="135">
        <v>3.6132627674284823</v>
      </c>
      <c r="K15" s="135">
        <v>5.3912441562363966</v>
      </c>
      <c r="L15" s="135"/>
      <c r="M15" s="135">
        <v>4.8503453479609604</v>
      </c>
      <c r="N15" s="114">
        <v>4.7583336891170003</v>
      </c>
      <c r="O15" s="114"/>
      <c r="P15" s="104"/>
      <c r="Q15" s="104"/>
    </row>
    <row r="16" spans="1:17" ht="12.75" customHeight="1" x14ac:dyDescent="0.2">
      <c r="A16" s="75" t="s">
        <v>35</v>
      </c>
      <c r="B16" s="30" t="s">
        <v>9</v>
      </c>
      <c r="C16" s="30" t="s">
        <v>19</v>
      </c>
      <c r="D16" s="31">
        <v>39514</v>
      </c>
      <c r="E16" s="79">
        <v>0.45024634000000052</v>
      </c>
      <c r="F16" s="34">
        <v>1694</v>
      </c>
      <c r="G16" s="129">
        <v>3.161177756956457</v>
      </c>
      <c r="H16" s="135">
        <v>3.161177756956457</v>
      </c>
      <c r="I16" s="135">
        <v>4.6185107078859922</v>
      </c>
      <c r="J16" s="135">
        <v>3.0669781437008492</v>
      </c>
      <c r="K16" s="135">
        <v>5.1719388513413067</v>
      </c>
      <c r="L16" s="135"/>
      <c r="M16" s="135">
        <v>5.2143160737437411</v>
      </c>
      <c r="N16" s="114">
        <v>4.7292889350974754</v>
      </c>
      <c r="O16" s="114"/>
      <c r="P16" s="104"/>
      <c r="Q16" s="104"/>
    </row>
    <row r="17" spans="1:17" x14ac:dyDescent="0.2">
      <c r="A17" s="73" t="s">
        <v>58</v>
      </c>
      <c r="B17" s="162" t="s">
        <v>9</v>
      </c>
      <c r="C17" s="162" t="s">
        <v>20</v>
      </c>
      <c r="D17" s="37">
        <v>38360</v>
      </c>
      <c r="E17" s="79">
        <v>0.28699999999999998</v>
      </c>
      <c r="F17" s="34">
        <v>1977</v>
      </c>
      <c r="G17" s="129">
        <v>2.43805069919516</v>
      </c>
      <c r="H17" s="129">
        <v>2.43805069919516</v>
      </c>
      <c r="I17" s="129">
        <v>2.6139323717614404</v>
      </c>
      <c r="J17" s="129">
        <v>1.7011520571546646</v>
      </c>
      <c r="K17" s="129">
        <v>3.1121511601257796</v>
      </c>
      <c r="L17" s="129"/>
      <c r="M17" s="129">
        <v>2.72767644112343</v>
      </c>
      <c r="N17" s="114">
        <v>3.8446513696173801</v>
      </c>
      <c r="O17" s="114"/>
      <c r="P17" s="104"/>
      <c r="Q17" s="104"/>
    </row>
    <row r="18" spans="1:17" x14ac:dyDescent="0.2">
      <c r="A18" s="73" t="s">
        <v>57</v>
      </c>
      <c r="B18" s="12" t="s">
        <v>9</v>
      </c>
      <c r="C18" s="12" t="s">
        <v>19</v>
      </c>
      <c r="D18" s="37">
        <v>39182</v>
      </c>
      <c r="E18" s="79">
        <v>9.0999999999999998E-2</v>
      </c>
      <c r="F18" s="34">
        <v>258</v>
      </c>
      <c r="G18" s="129">
        <v>2.5463675497045646</v>
      </c>
      <c r="H18" s="129">
        <v>2.5463675497045646</v>
      </c>
      <c r="I18" s="129">
        <v>2.4195959045295146</v>
      </c>
      <c r="J18" s="129">
        <v>0.72549559721567136</v>
      </c>
      <c r="K18" s="129">
        <v>0.40903102800808888</v>
      </c>
      <c r="L18" s="129"/>
      <c r="M18" s="129">
        <v>7.5988208455186168E-2</v>
      </c>
      <c r="N18" s="114">
        <v>4.48748101056482</v>
      </c>
      <c r="O18" s="114"/>
      <c r="P18" s="104"/>
      <c r="Q18" s="104"/>
    </row>
    <row r="19" spans="1:17" x14ac:dyDescent="0.2">
      <c r="A19" s="76" t="s">
        <v>39</v>
      </c>
      <c r="B19" s="12" t="s">
        <v>9</v>
      </c>
      <c r="C19" s="12" t="s">
        <v>19</v>
      </c>
      <c r="D19" s="33">
        <v>38245</v>
      </c>
      <c r="E19" s="80">
        <v>9.4070739999999997</v>
      </c>
      <c r="F19" s="32">
        <v>27618</v>
      </c>
      <c r="G19" s="163">
        <v>3.31</v>
      </c>
      <c r="H19" s="164">
        <v>3.31</v>
      </c>
      <c r="I19" s="164">
        <v>6.19</v>
      </c>
      <c r="J19" s="164">
        <v>3.25</v>
      </c>
      <c r="K19" s="164">
        <v>5.09</v>
      </c>
      <c r="L19" s="164"/>
      <c r="M19" s="164">
        <v>5.15</v>
      </c>
      <c r="N19" s="101">
        <v>4.71</v>
      </c>
      <c r="O19" s="101"/>
      <c r="P19" s="104"/>
      <c r="Q19" s="104"/>
    </row>
    <row r="20" spans="1:17" ht="12.75" customHeight="1" x14ac:dyDescent="0.2">
      <c r="A20" s="76" t="s">
        <v>36</v>
      </c>
      <c r="B20" s="30" t="s">
        <v>9</v>
      </c>
      <c r="C20" s="30" t="s">
        <v>32</v>
      </c>
      <c r="D20" s="31">
        <v>39078</v>
      </c>
      <c r="E20" s="155">
        <v>5.4634968013916101</v>
      </c>
      <c r="F20" s="123">
        <v>13633</v>
      </c>
      <c r="G20" s="13">
        <v>11.556108194646209</v>
      </c>
      <c r="H20" s="13">
        <v>11.556108194646209</v>
      </c>
      <c r="I20" s="13">
        <v>11.705023591250562</v>
      </c>
      <c r="J20" s="13">
        <v>2.7808248650247558</v>
      </c>
      <c r="K20" s="14">
        <v>10.51822142999197</v>
      </c>
      <c r="L20" s="135"/>
      <c r="M20" s="14">
        <v>-2.4490313121879659</v>
      </c>
      <c r="N20" s="166">
        <v>13.376676919057218</v>
      </c>
      <c r="O20" s="115"/>
      <c r="P20" s="104"/>
      <c r="Q20" s="104"/>
    </row>
    <row r="21" spans="1:17" ht="12.75" customHeight="1" x14ac:dyDescent="0.2">
      <c r="A21" s="42" t="s">
        <v>43</v>
      </c>
      <c r="B21" s="43" t="s">
        <v>9</v>
      </c>
      <c r="C21" s="43"/>
      <c r="D21" s="44"/>
      <c r="E21" s="88">
        <f>SUM(E14:E20)</f>
        <v>20.908202211391611</v>
      </c>
      <c r="F21" s="45">
        <f>SUM(F14:F20)</f>
        <v>66237</v>
      </c>
      <c r="G21" s="137">
        <f>($E$14*G14+$E$15*G15+$E$16*G16+$E$17*G17+$E$18*G18+$E$19*G19+$E$20*G20)/$E$21</f>
        <v>5.7603723159398026</v>
      </c>
      <c r="H21" s="137">
        <f>($E$14*H14+$E$15*H15+$E$16*H16+$E$17*H17+$E$18*H18+$E$19*H19+$E$20*H20)/$E$21</f>
        <v>5.7603723159398026</v>
      </c>
      <c r="I21" s="137">
        <f>($E$14*I14+$E$15*I15+$E$16*I16+$E$17*I17+$E$18*I18+$E$19*I19+$E$20*I20)/$E$21</f>
        <v>7.9548414074349205</v>
      </c>
      <c r="J21" s="137">
        <f>($E$14*J14+$E$15*J15+$E$16*J16+$E$17*J17+$E$18*J18+$E$19*J19+$E$20*J20)/$E$21</f>
        <v>3.2133860834245933</v>
      </c>
      <c r="K21" s="137">
        <f>($E$14*K14+$E$15*K15+$E$16*K16+$E$17*K17+$E$18*K18+$E$19*K19+$E$20*K20)/($E$21-E15-E16)</f>
        <v>6.8719961944241348</v>
      </c>
      <c r="L21" s="137">
        <f>L14</f>
        <v>3.5976042244753037</v>
      </c>
      <c r="M21" s="137">
        <f>($E$14*M14+$E$15*M15+$E$16*M16+$E$17*M17+$E$18*M18+$E$19*M19+$E$20*M20)/$E$21</f>
        <v>3.2050308432792964</v>
      </c>
      <c r="N21" s="116" t="e">
        <f>E21-#REF!</f>
        <v>#REF!</v>
      </c>
      <c r="O21" s="111" t="e">
        <f>N21/#REF!</f>
        <v>#REF!</v>
      </c>
      <c r="P21" s="112" t="e">
        <f>F21-#REF!</f>
        <v>#REF!</v>
      </c>
      <c r="Q21" s="113" t="e">
        <f>P21/#REF!</f>
        <v>#REF!</v>
      </c>
    </row>
    <row r="22" spans="1:17" s="18" customFormat="1" ht="12.75" customHeight="1" x14ac:dyDescent="0.2">
      <c r="A22" s="70"/>
      <c r="B22" s="19"/>
      <c r="C22" s="19"/>
      <c r="D22" s="58"/>
      <c r="E22" s="89"/>
      <c r="F22" s="38"/>
      <c r="G22" s="138"/>
      <c r="H22" s="139"/>
      <c r="I22" s="139"/>
      <c r="J22" s="139"/>
      <c r="K22" s="139"/>
      <c r="L22" s="139"/>
      <c r="M22" s="140"/>
      <c r="N22" s="115"/>
      <c r="O22" s="115"/>
      <c r="P22" s="102"/>
      <c r="Q22" s="102"/>
    </row>
    <row r="23" spans="1:17" ht="12.75" customHeight="1" x14ac:dyDescent="0.2">
      <c r="A23" s="75" t="s">
        <v>48</v>
      </c>
      <c r="B23" s="30" t="s">
        <v>10</v>
      </c>
      <c r="C23" s="30" t="s">
        <v>19</v>
      </c>
      <c r="D23" s="31">
        <v>39367</v>
      </c>
      <c r="E23" s="80">
        <v>3.254</v>
      </c>
      <c r="F23" s="32">
        <v>4012</v>
      </c>
      <c r="G23" s="130">
        <v>3.0627916388672016</v>
      </c>
      <c r="H23" s="136">
        <v>3.0627916388672016</v>
      </c>
      <c r="I23" s="133">
        <v>6.023388110794059</v>
      </c>
      <c r="J23" s="136">
        <v>2.7116121336207</v>
      </c>
      <c r="K23" s="136">
        <v>4.6305868278269546</v>
      </c>
      <c r="L23" s="136"/>
      <c r="M23" s="132">
        <v>3.1451633190635597</v>
      </c>
      <c r="N23" s="103">
        <v>3.1596785240594505</v>
      </c>
      <c r="O23" s="103"/>
      <c r="P23" s="104"/>
      <c r="Q23" s="104"/>
    </row>
    <row r="24" spans="1:17" ht="12.75" customHeight="1" x14ac:dyDescent="0.2">
      <c r="A24" s="76" t="s">
        <v>40</v>
      </c>
      <c r="B24" s="12" t="s">
        <v>10</v>
      </c>
      <c r="C24" s="12" t="s">
        <v>19</v>
      </c>
      <c r="D24" s="31">
        <v>37606</v>
      </c>
      <c r="E24" s="80">
        <v>11.888719</v>
      </c>
      <c r="F24" s="32">
        <v>9667</v>
      </c>
      <c r="G24" s="163">
        <v>2.72</v>
      </c>
      <c r="H24" s="164">
        <v>2.72</v>
      </c>
      <c r="I24" s="164">
        <v>6.25</v>
      </c>
      <c r="J24" s="164">
        <v>2.97</v>
      </c>
      <c r="K24" s="164">
        <v>3.89</v>
      </c>
      <c r="L24" s="165">
        <v>3.46</v>
      </c>
      <c r="M24" s="164">
        <v>3.52</v>
      </c>
      <c r="N24" s="101">
        <v>3.92</v>
      </c>
      <c r="O24" s="101"/>
      <c r="P24" s="104"/>
      <c r="Q24" s="104"/>
    </row>
    <row r="25" spans="1:17" ht="12.75" customHeight="1" x14ac:dyDescent="0.2">
      <c r="A25" s="75" t="s">
        <v>15</v>
      </c>
      <c r="B25" s="30" t="s">
        <v>10</v>
      </c>
      <c r="C25" s="30" t="s">
        <v>23</v>
      </c>
      <c r="D25" s="31">
        <v>37834</v>
      </c>
      <c r="E25" s="87">
        <v>18.9949948123867</v>
      </c>
      <c r="F25" s="57">
        <v>34121</v>
      </c>
      <c r="G25" s="131">
        <v>6.0403571817476687</v>
      </c>
      <c r="H25" s="136">
        <v>6.0403571817476687</v>
      </c>
      <c r="I25" s="136">
        <v>8.1807702319263385</v>
      </c>
      <c r="J25" s="136">
        <v>3.5531777645948726</v>
      </c>
      <c r="K25" s="133">
        <v>8.2139517451872646</v>
      </c>
      <c r="L25" s="133">
        <v>3.5106147743328764</v>
      </c>
      <c r="M25" s="133">
        <v>3.5482872505782082</v>
      </c>
      <c r="N25" s="115">
        <v>7.5031440275960204</v>
      </c>
      <c r="O25" s="115"/>
      <c r="P25" s="104"/>
      <c r="Q25" s="104"/>
    </row>
    <row r="26" spans="1:17" ht="12.75" customHeight="1" x14ac:dyDescent="0.2">
      <c r="A26" s="73" t="s">
        <v>14</v>
      </c>
      <c r="B26" s="12" t="s">
        <v>10</v>
      </c>
      <c r="C26" s="12" t="s">
        <v>22</v>
      </c>
      <c r="D26" s="33">
        <v>40834</v>
      </c>
      <c r="E26" s="79">
        <v>1.2110000000000001</v>
      </c>
      <c r="F26" s="34">
        <v>2002</v>
      </c>
      <c r="G26" s="129">
        <v>5.76</v>
      </c>
      <c r="H26" s="129">
        <v>5.76</v>
      </c>
      <c r="I26" s="129">
        <v>5.38</v>
      </c>
      <c r="J26" s="129"/>
      <c r="K26" s="129"/>
      <c r="L26" s="129"/>
      <c r="M26" s="133">
        <v>5.07</v>
      </c>
      <c r="N26" s="115">
        <v>6.75</v>
      </c>
      <c r="O26" s="115"/>
      <c r="P26" s="104"/>
      <c r="Q26" s="104"/>
    </row>
    <row r="27" spans="1:17" ht="13.5" customHeight="1" x14ac:dyDescent="0.2">
      <c r="A27" s="76" t="s">
        <v>17</v>
      </c>
      <c r="B27" s="30" t="s">
        <v>10</v>
      </c>
      <c r="C27" s="30" t="s">
        <v>24</v>
      </c>
      <c r="D27" s="31">
        <v>4.1063829196259997E-2</v>
      </c>
      <c r="E27" s="79">
        <v>4.2700283712120111E-2</v>
      </c>
      <c r="F27" s="34">
        <v>110</v>
      </c>
      <c r="G27" s="129">
        <v>2.1341742814229514</v>
      </c>
      <c r="H27" s="135">
        <v>2.1341742814229514</v>
      </c>
      <c r="I27" s="135">
        <v>5.3515479589381298</v>
      </c>
      <c r="J27" s="135">
        <v>2.9444980264215159</v>
      </c>
      <c r="K27" s="135">
        <v>3.4711957416425632</v>
      </c>
      <c r="L27" s="135"/>
      <c r="M27" s="135">
        <v>4.1563195938716602</v>
      </c>
      <c r="N27" s="114">
        <v>3.687233311839333</v>
      </c>
      <c r="O27" s="114"/>
      <c r="P27" s="104"/>
      <c r="Q27" s="104"/>
    </row>
    <row r="28" spans="1:17" ht="12.75" customHeight="1" x14ac:dyDescent="0.2">
      <c r="A28" s="42" t="s">
        <v>43</v>
      </c>
      <c r="B28" s="43" t="s">
        <v>10</v>
      </c>
      <c r="C28" s="43"/>
      <c r="D28" s="44"/>
      <c r="E28" s="90">
        <f>SUM(E23:E27)</f>
        <v>35.391414096098821</v>
      </c>
      <c r="F28" s="46">
        <f>SUM(F23:F27)</f>
        <v>49912</v>
      </c>
      <c r="G28" s="141">
        <f>($E$23*G23+$E$24*G24+$E$25*G25+$E$26*G26+$E$27*G27)/($E$28)</f>
        <v>4.6369066352319299</v>
      </c>
      <c r="H28" s="141">
        <f>($E$23*H23+$E$24*H24+$E$25*H25+$E$26*H26+$E$27*H27)/($E$28)</f>
        <v>4.6369066352319299</v>
      </c>
      <c r="I28" s="141">
        <f>($E$23*I23+$E$24*I24+$E$25*I25+$E$26*I26+$E$27*I27)/($E$28-$E$26)</f>
        <v>7.4908975261555177</v>
      </c>
      <c r="J28" s="141">
        <f>($E$23*J23+$E$24*J24+$E$25*J25+$E$26*J26+$E$27*J27)/($E$28-$E$26)</f>
        <v>3.2694573303206953</v>
      </c>
      <c r="K28" s="141">
        <f>($E$23*K23+$E$24*K24+$E$25*K25+$E$26*K26+$E$27*K27)/($E$28-$E$26-$E$27)</f>
        <v>6.3708788314011224</v>
      </c>
      <c r="L28" s="141">
        <f>($E$23*L23+$E$24*L24+$E$25*L25+$E$26*L26+$E$27*L27)/($E$28-$E$26-$E$27)</f>
        <v>3.1583567007237456</v>
      </c>
      <c r="M28" s="141">
        <f>($E$23*M23+$E$24*M24+$E$25*M25+$E$26*M26+$E$27*M27)/($E$28)</f>
        <v>3.5545230242028434</v>
      </c>
      <c r="N28" s="117" t="e">
        <f>E28-#REF!</f>
        <v>#REF!</v>
      </c>
      <c r="O28" s="118" t="e">
        <f>N28/#REF!</f>
        <v>#REF!</v>
      </c>
      <c r="P28" s="112" t="e">
        <f>F28-#REF!</f>
        <v>#REF!</v>
      </c>
      <c r="Q28" s="113" t="e">
        <f>P28/#REF!</f>
        <v>#REF!</v>
      </c>
    </row>
    <row r="29" spans="1:17" s="18" customFormat="1" ht="12.75" customHeight="1" x14ac:dyDescent="0.2">
      <c r="A29" s="70"/>
      <c r="B29" s="19"/>
      <c r="C29" s="19"/>
      <c r="D29" s="58"/>
      <c r="E29" s="91"/>
      <c r="F29" s="39"/>
      <c r="G29" s="142"/>
      <c r="H29" s="143"/>
      <c r="I29" s="143"/>
      <c r="J29" s="143"/>
      <c r="K29" s="143"/>
      <c r="L29" s="143"/>
      <c r="M29" s="144"/>
      <c r="N29" s="114"/>
      <c r="O29" s="114"/>
      <c r="P29" s="102"/>
      <c r="Q29" s="102"/>
    </row>
    <row r="30" spans="1:17" ht="12.75" customHeight="1" x14ac:dyDescent="0.2">
      <c r="A30" s="75" t="s">
        <v>29</v>
      </c>
      <c r="B30" s="30" t="s">
        <v>11</v>
      </c>
      <c r="C30" s="30" t="s">
        <v>19</v>
      </c>
      <c r="D30" s="31">
        <v>38808</v>
      </c>
      <c r="E30" s="78">
        <v>0.58699999999999997</v>
      </c>
      <c r="F30" s="83">
        <v>703</v>
      </c>
      <c r="G30" s="128">
        <v>8.7860284359075891E-2</v>
      </c>
      <c r="H30" s="136">
        <v>8.7860284359075891E-2</v>
      </c>
      <c r="I30" s="136">
        <v>6.0609489409566564</v>
      </c>
      <c r="J30" s="136">
        <v>2.9283922380862526</v>
      </c>
      <c r="K30" s="136">
        <v>4.6333119083781904</v>
      </c>
      <c r="L30" s="136"/>
      <c r="M30" s="132">
        <v>4.8924052098107129</v>
      </c>
      <c r="N30" s="103">
        <v>4.9415156263793891</v>
      </c>
      <c r="O30" s="103"/>
      <c r="P30" s="104"/>
      <c r="Q30" s="104"/>
    </row>
    <row r="31" spans="1:17" ht="12.75" customHeight="1" x14ac:dyDescent="0.2">
      <c r="A31" s="75" t="s">
        <v>16</v>
      </c>
      <c r="B31" s="30" t="s">
        <v>11</v>
      </c>
      <c r="C31" s="30" t="s">
        <v>23</v>
      </c>
      <c r="D31" s="31">
        <v>37816</v>
      </c>
      <c r="E31" s="87">
        <v>1.0153015230498199</v>
      </c>
      <c r="F31" s="57">
        <v>1144</v>
      </c>
      <c r="G31" s="131">
        <v>4.5839061789100022</v>
      </c>
      <c r="H31" s="133">
        <v>4.5839061789100022</v>
      </c>
      <c r="I31" s="133">
        <v>6.1491900500501018</v>
      </c>
      <c r="J31" s="133">
        <v>3.0973879100930413</v>
      </c>
      <c r="K31" s="133">
        <v>7.1138048572993107</v>
      </c>
      <c r="L31" s="133">
        <v>2.7689732403253675</v>
      </c>
      <c r="M31" s="133">
        <v>2.7629191627727812</v>
      </c>
      <c r="N31" s="115">
        <v>6.00590336812723</v>
      </c>
      <c r="O31" s="115"/>
      <c r="P31" s="104"/>
      <c r="Q31" s="104"/>
    </row>
    <row r="32" spans="1:17" ht="12.75" customHeight="1" x14ac:dyDescent="0.2">
      <c r="A32" s="42" t="s">
        <v>43</v>
      </c>
      <c r="B32" s="43" t="s">
        <v>11</v>
      </c>
      <c r="C32" s="47"/>
      <c r="D32" s="48"/>
      <c r="E32" s="90">
        <f>SUM(E30:E31)</f>
        <v>1.6023015230498199</v>
      </c>
      <c r="F32" s="46">
        <f>SUM(F30:F31)</f>
        <v>1847</v>
      </c>
      <c r="G32" s="137">
        <f>($E$30*G30+$E$31*G31)/$E$32</f>
        <v>2.9367886407090884</v>
      </c>
      <c r="H32" s="137">
        <f>($E$30*H30+$E$31*H31)/$E$32</f>
        <v>2.9367886407090884</v>
      </c>
      <c r="I32" s="137">
        <f>($E$30*I30+$E$31*I31)/$E$32</f>
        <v>6.1168630939231043</v>
      </c>
      <c r="J32" s="137">
        <f>($E$30*J30+$E$31*J31)/$E$32</f>
        <v>3.0354766792535628</v>
      </c>
      <c r="K32" s="137">
        <f>($E$30*K30+$E$31*K31)/$E$32</f>
        <v>6.2050811619955368</v>
      </c>
      <c r="L32" s="137"/>
      <c r="M32" s="137">
        <f>($E$30*M30+$E$31*M31)/$E$32</f>
        <v>3.5430521724649897</v>
      </c>
      <c r="N32" s="116" t="e">
        <f>E32-#REF!</f>
        <v>#REF!</v>
      </c>
      <c r="O32" s="116" t="e">
        <f>N32/#REF!</f>
        <v>#REF!</v>
      </c>
      <c r="P32" s="112" t="e">
        <f>F32-#REF!</f>
        <v>#REF!</v>
      </c>
      <c r="Q32" s="113" t="e">
        <f>P32/#REF!</f>
        <v>#REF!</v>
      </c>
    </row>
    <row r="33" spans="1:18" s="18" customFormat="1" ht="12.75" customHeight="1" x14ac:dyDescent="0.2">
      <c r="A33" s="70"/>
      <c r="B33" s="19"/>
      <c r="C33" s="19"/>
      <c r="D33" s="58"/>
      <c r="E33" s="91"/>
      <c r="F33" s="39"/>
      <c r="G33" s="142"/>
      <c r="H33" s="139"/>
      <c r="I33" s="139"/>
      <c r="J33" s="139"/>
      <c r="K33" s="139"/>
      <c r="L33" s="139"/>
      <c r="M33" s="140"/>
      <c r="N33" s="115"/>
      <c r="O33" s="115"/>
      <c r="P33" s="102"/>
      <c r="Q33" s="102"/>
    </row>
    <row r="34" spans="1:18" s="25" customFormat="1" ht="21" customHeight="1" x14ac:dyDescent="0.2">
      <c r="A34" s="64" t="s">
        <v>45</v>
      </c>
      <c r="B34" s="65"/>
      <c r="C34" s="65"/>
      <c r="D34" s="65"/>
      <c r="E34" s="90">
        <f>E32+E28+E21</f>
        <v>57.901917830540249</v>
      </c>
      <c r="F34" s="46">
        <f>F32+F28+F21</f>
        <v>117996</v>
      </c>
      <c r="G34" s="145">
        <f>($E$21*G21+$E$28*G28+$E$32*G32)/$E$34</f>
        <v>4.9955397644243762</v>
      </c>
      <c r="H34" s="145">
        <f>($E$21*H21+$E$28*H28+$E$32*H32)/$E$34</f>
        <v>4.9955397644243762</v>
      </c>
      <c r="I34" s="145">
        <f>($E$21*I21+$E$28*I28+$E$32*I32)/$E$34</f>
        <v>7.6204029950932597</v>
      </c>
      <c r="J34" s="145">
        <f>($E$21*J21+$E$28*J28+$E$32*J32)/$E$34</f>
        <v>3.2427353048698992</v>
      </c>
      <c r="K34" s="145">
        <f>($E$21*K21+$E$28*K28+$E$32*K32)/$E$34</f>
        <v>6.5472426839664966</v>
      </c>
      <c r="L34" s="145">
        <f>($E$21*L21+$E$28*L28)/(E21+E28)</f>
        <v>3.3214817209244383</v>
      </c>
      <c r="M34" s="145">
        <f>($E$21*M21+$E$28*M28+$E$32*M32)/$E$34</f>
        <v>3.4280050567894027</v>
      </c>
      <c r="N34" s="103"/>
      <c r="O34" s="103"/>
      <c r="P34" s="104"/>
      <c r="Q34" s="104"/>
      <c r="R34" s="26"/>
    </row>
    <row r="35" spans="1:18" s="25" customFormat="1" ht="26.25" customHeight="1" x14ac:dyDescent="0.2">
      <c r="A35" s="182" t="s">
        <v>46</v>
      </c>
      <c r="B35" s="182"/>
      <c r="C35" s="182"/>
      <c r="D35" s="182"/>
      <c r="E35" s="92">
        <f>SUM(E10,E34)</f>
        <v>126.85100895086575</v>
      </c>
      <c r="F35" s="66">
        <f>SUM(F10, F34)</f>
        <v>208407</v>
      </c>
      <c r="G35" s="161"/>
      <c r="H35" s="183"/>
      <c r="I35" s="184"/>
      <c r="J35" s="184"/>
      <c r="K35" s="184"/>
      <c r="L35" s="184"/>
      <c r="M35" s="185"/>
      <c r="N35" s="105"/>
      <c r="O35" s="105"/>
      <c r="P35" s="104"/>
      <c r="Q35" s="104"/>
      <c r="R35" s="26"/>
    </row>
    <row r="36" spans="1:18" s="29" customFormat="1" ht="10.5" customHeight="1" x14ac:dyDescent="0.2">
      <c r="A36" s="71"/>
      <c r="B36" s="59"/>
      <c r="C36" s="59"/>
      <c r="D36" s="59"/>
      <c r="E36" s="60"/>
      <c r="F36" s="39"/>
      <c r="G36" s="142"/>
      <c r="H36" s="142"/>
      <c r="I36" s="142"/>
      <c r="J36" s="142"/>
      <c r="K36" s="142"/>
      <c r="L36" s="142"/>
      <c r="M36" s="146"/>
      <c r="N36" s="105"/>
      <c r="O36" s="105"/>
      <c r="P36" s="102"/>
      <c r="Q36" s="102"/>
      <c r="R36" s="40"/>
    </row>
    <row r="37" spans="1:18" ht="22.5" customHeight="1" x14ac:dyDescent="0.2">
      <c r="A37" s="67" t="s">
        <v>25</v>
      </c>
      <c r="B37" s="61"/>
      <c r="C37" s="61"/>
      <c r="D37" s="61"/>
      <c r="E37" s="62"/>
      <c r="F37" s="63"/>
      <c r="G37" s="147"/>
      <c r="H37" s="148"/>
      <c r="I37" s="148"/>
      <c r="J37" s="148"/>
      <c r="K37" s="148"/>
      <c r="L37" s="148"/>
      <c r="M37" s="148"/>
      <c r="N37" s="119"/>
      <c r="O37" s="119"/>
      <c r="P37" s="104"/>
      <c r="Q37" s="104"/>
      <c r="R37" s="2"/>
    </row>
    <row r="38" spans="1:18" ht="39" customHeight="1" thickBot="1" x14ac:dyDescent="0.25">
      <c r="A38" s="77" t="s">
        <v>41</v>
      </c>
      <c r="B38" s="30" t="s">
        <v>9</v>
      </c>
      <c r="C38" s="30" t="s">
        <v>20</v>
      </c>
      <c r="D38" s="68">
        <v>36495</v>
      </c>
      <c r="E38" s="27">
        <v>38.744</v>
      </c>
      <c r="F38" s="28">
        <v>12073</v>
      </c>
      <c r="G38" s="149">
        <v>2.56</v>
      </c>
      <c r="H38" s="149">
        <v>2.56</v>
      </c>
      <c r="I38" s="149">
        <v>5.6</v>
      </c>
      <c r="J38" s="149">
        <v>3.36</v>
      </c>
      <c r="K38" s="149">
        <v>5.75</v>
      </c>
      <c r="L38" s="149">
        <v>4.8600000000000003</v>
      </c>
      <c r="M38" s="150">
        <v>7.3</v>
      </c>
      <c r="N38" s="114">
        <v>3.16</v>
      </c>
      <c r="O38" s="114"/>
      <c r="P38" s="104"/>
      <c r="Q38" s="104"/>
    </row>
    <row r="39" spans="1:18" ht="31.5" customHeight="1" x14ac:dyDescent="0.2">
      <c r="A39" s="204" t="s">
        <v>68</v>
      </c>
      <c r="B39" s="205"/>
      <c r="C39" s="205"/>
      <c r="D39" s="206"/>
      <c r="E39" s="124">
        <f>(E35+E38)/0.702804</f>
        <v>235.6204702176791</v>
      </c>
      <c r="F39" s="125">
        <f>F35+F38</f>
        <v>220480</v>
      </c>
      <c r="G39" s="151"/>
      <c r="H39" s="152"/>
      <c r="I39" s="152"/>
      <c r="J39" s="152"/>
      <c r="K39" s="152"/>
      <c r="L39" s="152"/>
      <c r="M39" s="152"/>
      <c r="N39" s="121" t="e">
        <f>E39-#REF!</f>
        <v>#REF!</v>
      </c>
      <c r="O39" s="122" t="e">
        <f>N39/#REF!</f>
        <v>#REF!</v>
      </c>
      <c r="P39" s="112" t="e">
        <f>F39-#REF!</f>
        <v>#REF!</v>
      </c>
      <c r="Q39" s="120" t="e">
        <f>P39/#REF!</f>
        <v>#REF!</v>
      </c>
    </row>
    <row r="40" spans="1:18" ht="41.25" customHeight="1" x14ac:dyDescent="0.2">
      <c r="A40" s="207" t="s">
        <v>53</v>
      </c>
      <c r="B40" s="208"/>
      <c r="C40" s="208"/>
      <c r="D40" s="208"/>
      <c r="E40" s="208"/>
      <c r="F40" s="208"/>
      <c r="G40" s="208"/>
      <c r="H40" s="208"/>
      <c r="I40" s="208"/>
      <c r="J40" s="208"/>
      <c r="K40" s="208"/>
      <c r="L40" s="208"/>
      <c r="M40" s="209"/>
      <c r="N40" s="16"/>
      <c r="O40" s="16"/>
    </row>
    <row r="41" spans="1:18" s="4" customFormat="1" ht="24" customHeight="1" x14ac:dyDescent="0.2">
      <c r="A41" s="210" t="s">
        <v>31</v>
      </c>
      <c r="B41" s="211"/>
      <c r="C41" s="211"/>
      <c r="D41" s="211"/>
      <c r="E41" s="211"/>
      <c r="F41" s="211"/>
      <c r="G41" s="211"/>
      <c r="H41" s="211"/>
      <c r="I41" s="211"/>
      <c r="J41" s="211"/>
      <c r="K41" s="211"/>
      <c r="L41" s="211"/>
      <c r="M41" s="212"/>
      <c r="N41" s="20"/>
      <c r="O41" s="20"/>
      <c r="P41" s="106"/>
      <c r="Q41" s="106"/>
    </row>
    <row r="42" spans="1:18" s="4" customFormat="1" ht="24" customHeight="1" x14ac:dyDescent="0.2">
      <c r="A42" s="158" t="s">
        <v>56</v>
      </c>
      <c r="B42" s="159"/>
      <c r="C42" s="159"/>
      <c r="D42" s="159"/>
      <c r="E42" s="159"/>
      <c r="F42" s="159"/>
      <c r="G42" s="159"/>
      <c r="H42" s="159"/>
      <c r="I42" s="159"/>
      <c r="J42" s="159"/>
      <c r="K42" s="159"/>
      <c r="L42" s="159"/>
      <c r="M42" s="160"/>
      <c r="N42" s="20"/>
      <c r="O42" s="20"/>
      <c r="P42" s="106"/>
      <c r="Q42" s="106"/>
    </row>
    <row r="43" spans="1:18" s="4" customFormat="1" ht="24" customHeight="1" x14ac:dyDescent="0.2">
      <c r="A43" s="213" t="s">
        <v>59</v>
      </c>
      <c r="B43" s="214"/>
      <c r="C43" s="214"/>
      <c r="D43" s="214"/>
      <c r="E43" s="214"/>
      <c r="F43" s="214"/>
      <c r="G43" s="214"/>
      <c r="H43" s="214"/>
      <c r="I43" s="214"/>
      <c r="J43" s="214"/>
      <c r="K43" s="214"/>
      <c r="L43" s="214"/>
      <c r="M43" s="215"/>
      <c r="N43" s="20"/>
      <c r="O43" s="20"/>
      <c r="P43" s="106"/>
      <c r="Q43" s="106"/>
    </row>
    <row r="44" spans="1:18" ht="22.5" customHeight="1" x14ac:dyDescent="0.2">
      <c r="B44" s="11"/>
      <c r="C44" s="11"/>
      <c r="D44" s="11"/>
      <c r="E44" s="216" t="s">
        <v>52</v>
      </c>
      <c r="F44" s="217"/>
      <c r="G44" s="153">
        <f>($E$10*G10+$E$21*G21+$E$28*G28+$E$32*G32+$E$38*G38)/$E$39</f>
        <v>2.2347642583263299</v>
      </c>
      <c r="H44" s="153">
        <f>($E$10*H10+$E$21*H21+$E$28*H28+$E$32*H32+$E$38*H38)/$E$39</f>
        <v>2.2347642583263299</v>
      </c>
      <c r="I44" s="153">
        <f>($E$10*I10+$E$21*I21+$E$28*I28+$E$32*I32+$E$38*I38)/$E$39</f>
        <v>4.3359206238537586</v>
      </c>
      <c r="J44" s="153">
        <f>($E$10*J10+$E$21*J21+$E$28*J28+$E$32*J32+$E$38*J38)/$E$39</f>
        <v>2.2397202328027879</v>
      </c>
      <c r="K44" s="153">
        <f>($E$10*K10+$E$21*K21+$E$28*K28+$E$32*K32+$E$38*K38)/$E$39</f>
        <v>4.1653377220397054</v>
      </c>
      <c r="L44" s="153">
        <f>($E$10*L10+$E$21*L21+$E$28*L28+$E$38*L38)/$E$39</f>
        <v>2.8377326871271094</v>
      </c>
      <c r="M44" s="153">
        <f>($E$10*M10+$E$21*M21+$E$28*M28+$E$32*M32+$E$38*M38)/$E$39</f>
        <v>3.703738522030827</v>
      </c>
      <c r="N44" s="17"/>
      <c r="O44" s="17"/>
    </row>
    <row r="45" spans="1:18" ht="16.5" customHeight="1" x14ac:dyDescent="0.2">
      <c r="B45" s="10"/>
      <c r="C45" s="10"/>
      <c r="D45" s="10"/>
      <c r="E45" s="21"/>
      <c r="F45" s="84" t="s">
        <v>51</v>
      </c>
      <c r="G45" s="154"/>
      <c r="H45" s="154">
        <v>-5.6450338021018442</v>
      </c>
      <c r="I45" s="154">
        <v>3.1034406366778287</v>
      </c>
      <c r="J45" s="154">
        <v>-1.5032550315750499</v>
      </c>
      <c r="K45" s="154">
        <v>3.5667603520113356</v>
      </c>
      <c r="L45" s="154"/>
      <c r="M45" s="154">
        <v>2.0404919036800528E-2</v>
      </c>
      <c r="N45" s="20"/>
      <c r="O45" s="20"/>
    </row>
    <row r="46" spans="1:18" x14ac:dyDescent="0.2">
      <c r="E46" s="22"/>
      <c r="F46" s="85"/>
      <c r="G46" s="85"/>
      <c r="H46" s="9"/>
      <c r="I46" s="9"/>
      <c r="J46" s="9"/>
      <c r="K46" s="9"/>
      <c r="L46" s="9"/>
      <c r="M46" s="9"/>
      <c r="N46" s="94"/>
      <c r="O46" s="94"/>
    </row>
    <row r="47" spans="1:18" x14ac:dyDescent="0.2">
      <c r="E47" s="23"/>
      <c r="F47" s="85"/>
      <c r="G47" s="85"/>
      <c r="H47" s="6"/>
      <c r="I47" s="6"/>
      <c r="J47" s="6"/>
      <c r="K47" s="6"/>
      <c r="L47" s="6"/>
      <c r="M47" s="6"/>
      <c r="N47" s="94"/>
      <c r="O47" s="94"/>
      <c r="P47" s="107"/>
    </row>
    <row r="48" spans="1:18" x14ac:dyDescent="0.2">
      <c r="H48" s="7"/>
      <c r="I48" s="6"/>
      <c r="J48" s="6"/>
      <c r="K48" s="6"/>
      <c r="L48" s="6"/>
      <c r="M48" s="6"/>
      <c r="N48" s="94"/>
      <c r="O48" s="94"/>
      <c r="P48" s="99"/>
    </row>
    <row r="49" spans="1:16" x14ac:dyDescent="0.2">
      <c r="A49" s="25" t="s">
        <v>61</v>
      </c>
      <c r="B49" s="167"/>
      <c r="C49" s="167"/>
      <c r="D49" s="25"/>
      <c r="E49" s="168" t="e">
        <f>E39-#REF!</f>
        <v>#REF!</v>
      </c>
      <c r="F49" s="169" t="e">
        <f>E49/#REF!</f>
        <v>#REF!</v>
      </c>
      <c r="H49" s="6"/>
      <c r="I49" s="6"/>
      <c r="J49" s="6"/>
      <c r="K49" s="6"/>
      <c r="L49" s="6"/>
      <c r="M49" s="6"/>
      <c r="N49" s="94"/>
      <c r="O49" s="94"/>
      <c r="P49" s="99"/>
    </row>
    <row r="50" spans="1:16" x14ac:dyDescent="0.2">
      <c r="A50" s="25" t="s">
        <v>62</v>
      </c>
      <c r="B50" s="167"/>
      <c r="C50" s="167"/>
      <c r="D50" s="25"/>
      <c r="E50" s="170" t="e">
        <f>F39-#REF!</f>
        <v>#REF!</v>
      </c>
      <c r="F50" s="169" t="e">
        <f>E50/#REF!</f>
        <v>#REF!</v>
      </c>
      <c r="H50" s="5"/>
      <c r="I50" s="5"/>
      <c r="J50" s="5"/>
      <c r="K50" s="5"/>
      <c r="L50" s="5"/>
      <c r="M50" s="5"/>
      <c r="N50" s="108"/>
      <c r="O50" s="108"/>
    </row>
  </sheetData>
  <mergeCells count="20">
    <mergeCell ref="A39:D39"/>
    <mergeCell ref="A40:M40"/>
    <mergeCell ref="A41:M41"/>
    <mergeCell ref="A43:M43"/>
    <mergeCell ref="E44:F44"/>
    <mergeCell ref="N3:O3"/>
    <mergeCell ref="P3:Q3"/>
    <mergeCell ref="A4:M4"/>
    <mergeCell ref="A5:M5"/>
    <mergeCell ref="A13:M13"/>
    <mergeCell ref="A35:D35"/>
    <mergeCell ref="H35:M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zoomScaleNormal="90" workbookViewId="0">
      <pane ySplit="3" topLeftCell="A19" activePane="bottomLeft" state="frozen"/>
      <selection pane="bottomLeft" activeCell="U43" sqref="U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4" customWidth="1"/>
    <col min="6" max="6" width="11.5703125" style="86" customWidth="1"/>
    <col min="7" max="7" width="9.5703125" style="86" customWidth="1"/>
    <col min="8" max="13" width="9" style="1" customWidth="1"/>
    <col min="14" max="15" width="9" style="109" hidden="1" customWidth="1"/>
    <col min="16" max="17" width="9.140625" style="96" hidden="1" customWidth="1"/>
    <col min="18" max="16384" width="9.140625" style="1"/>
  </cols>
  <sheetData>
    <row r="1" spans="1:17" s="3" customFormat="1" ht="27" customHeight="1" x14ac:dyDescent="0.25">
      <c r="A1" s="186" t="s">
        <v>64</v>
      </c>
      <c r="B1" s="186"/>
      <c r="C1" s="186"/>
      <c r="D1" s="186"/>
      <c r="E1" s="186"/>
      <c r="F1" s="186"/>
      <c r="G1" s="186"/>
      <c r="H1" s="186"/>
      <c r="I1" s="186"/>
      <c r="J1" s="186"/>
      <c r="K1" s="186"/>
      <c r="L1" s="186"/>
      <c r="M1" s="186"/>
      <c r="N1" s="15"/>
      <c r="O1" s="15"/>
      <c r="P1" s="95"/>
      <c r="Q1" s="95"/>
    </row>
    <row r="2" spans="1:17" ht="24" customHeight="1" x14ac:dyDescent="0.2">
      <c r="A2" s="187" t="s">
        <v>0</v>
      </c>
      <c r="B2" s="188" t="s">
        <v>12</v>
      </c>
      <c r="C2" s="189" t="s">
        <v>18</v>
      </c>
      <c r="D2" s="190" t="s">
        <v>37</v>
      </c>
      <c r="E2" s="191" t="s">
        <v>65</v>
      </c>
      <c r="F2" s="192" t="s">
        <v>2</v>
      </c>
      <c r="G2" s="193" t="s">
        <v>3</v>
      </c>
      <c r="H2" s="194"/>
      <c r="I2" s="194"/>
      <c r="J2" s="194"/>
      <c r="K2" s="194"/>
      <c r="L2" s="194"/>
      <c r="M2" s="195"/>
      <c r="N2" s="20"/>
      <c r="O2" s="20"/>
    </row>
    <row r="3" spans="1:17" ht="42.75" customHeight="1" x14ac:dyDescent="0.2">
      <c r="A3" s="187"/>
      <c r="B3" s="188"/>
      <c r="C3" s="189"/>
      <c r="D3" s="190"/>
      <c r="E3" s="191"/>
      <c r="F3" s="192"/>
      <c r="G3" s="127" t="s">
        <v>54</v>
      </c>
      <c r="H3" s="171" t="s">
        <v>4</v>
      </c>
      <c r="I3" s="171" t="s">
        <v>5</v>
      </c>
      <c r="J3" s="171" t="s">
        <v>6</v>
      </c>
      <c r="K3" s="171" t="s">
        <v>7</v>
      </c>
      <c r="L3" s="126" t="s">
        <v>55</v>
      </c>
      <c r="M3" s="172" t="s">
        <v>8</v>
      </c>
      <c r="N3" s="196" t="s">
        <v>49</v>
      </c>
      <c r="O3" s="197"/>
      <c r="P3" s="196" t="s">
        <v>50</v>
      </c>
      <c r="Q3" s="198"/>
    </row>
    <row r="4" spans="1:17" ht="26.25" customHeight="1" x14ac:dyDescent="0.2">
      <c r="A4" s="199" t="s">
        <v>47</v>
      </c>
      <c r="B4" s="200"/>
      <c r="C4" s="200"/>
      <c r="D4" s="200"/>
      <c r="E4" s="200"/>
      <c r="F4" s="200"/>
      <c r="G4" s="200"/>
      <c r="H4" s="200"/>
      <c r="I4" s="200"/>
      <c r="J4" s="200"/>
      <c r="K4" s="200"/>
      <c r="L4" s="200"/>
      <c r="M4" s="201"/>
      <c r="N4" s="93"/>
      <c r="O4" s="93"/>
    </row>
    <row r="5" spans="1:17" ht="23.25" customHeight="1" x14ac:dyDescent="0.2">
      <c r="A5" s="202" t="s">
        <v>42</v>
      </c>
      <c r="B5" s="202"/>
      <c r="C5" s="202"/>
      <c r="D5" s="202"/>
      <c r="E5" s="202"/>
      <c r="F5" s="202"/>
      <c r="G5" s="202"/>
      <c r="H5" s="202"/>
      <c r="I5" s="202"/>
      <c r="J5" s="202"/>
      <c r="K5" s="202"/>
      <c r="L5" s="202"/>
      <c r="M5" s="202"/>
      <c r="N5" s="20"/>
      <c r="O5" s="20"/>
    </row>
    <row r="6" spans="1:17" x14ac:dyDescent="0.2">
      <c r="A6" s="72" t="s">
        <v>27</v>
      </c>
      <c r="B6" s="30" t="s">
        <v>10</v>
      </c>
      <c r="C6" s="30" t="s">
        <v>26</v>
      </c>
      <c r="D6" s="31">
        <v>36433</v>
      </c>
      <c r="E6" s="78">
        <v>21.277999999999999</v>
      </c>
      <c r="F6" s="83">
        <v>26962</v>
      </c>
      <c r="G6" s="128">
        <v>0.3467454263210496</v>
      </c>
      <c r="H6" s="132">
        <v>3.2979109276602747</v>
      </c>
      <c r="I6" s="132">
        <v>5.4134755138326662</v>
      </c>
      <c r="J6" s="132">
        <v>3.4146559282355327</v>
      </c>
      <c r="K6" s="132">
        <v>6.3357360826340914</v>
      </c>
      <c r="L6" s="132">
        <v>3.7881158870324949</v>
      </c>
      <c r="M6" s="132">
        <v>5.7686110015446879</v>
      </c>
      <c r="N6" s="97">
        <v>5.7776279351375415</v>
      </c>
      <c r="O6" s="97"/>
    </row>
    <row r="7" spans="1:17" s="2" customFormat="1" ht="12.75" customHeight="1" x14ac:dyDescent="0.2">
      <c r="A7" s="73" t="s">
        <v>34</v>
      </c>
      <c r="B7" s="30" t="s">
        <v>10</v>
      </c>
      <c r="C7" s="30" t="s">
        <v>21</v>
      </c>
      <c r="D7" s="33">
        <v>40834</v>
      </c>
      <c r="E7" s="79">
        <v>2.7839999999999998</v>
      </c>
      <c r="F7" s="34">
        <v>2671</v>
      </c>
      <c r="G7" s="129">
        <v>0.38</v>
      </c>
      <c r="H7" s="129">
        <v>0.39</v>
      </c>
      <c r="I7" s="129">
        <v>3.77</v>
      </c>
      <c r="J7" s="129"/>
      <c r="K7" s="129"/>
      <c r="L7" s="129"/>
      <c r="M7" s="133">
        <v>3.97</v>
      </c>
      <c r="N7" s="98">
        <v>1.42</v>
      </c>
      <c r="O7" s="98"/>
      <c r="P7" s="99"/>
      <c r="Q7" s="99"/>
    </row>
    <row r="8" spans="1:17" s="2" customFormat="1" ht="12.75" customHeight="1" x14ac:dyDescent="0.2">
      <c r="A8" s="73" t="s">
        <v>38</v>
      </c>
      <c r="B8" s="12" t="s">
        <v>10</v>
      </c>
      <c r="C8" s="12" t="s">
        <v>21</v>
      </c>
      <c r="D8" s="31">
        <v>36738</v>
      </c>
      <c r="E8" s="80">
        <v>59.731439999999999</v>
      </c>
      <c r="F8" s="32">
        <v>40457</v>
      </c>
      <c r="G8" s="163">
        <v>-0.54</v>
      </c>
      <c r="H8" s="164">
        <v>0.16</v>
      </c>
      <c r="I8" s="164">
        <v>3.36</v>
      </c>
      <c r="J8" s="164">
        <v>2.16</v>
      </c>
      <c r="K8" s="164">
        <v>4.46</v>
      </c>
      <c r="L8" s="164">
        <v>4.33</v>
      </c>
      <c r="M8" s="164">
        <v>4.8499999999999996</v>
      </c>
      <c r="N8" s="100">
        <v>0.24</v>
      </c>
      <c r="O8" s="100"/>
      <c r="P8" s="99"/>
      <c r="Q8" s="99"/>
    </row>
    <row r="9" spans="1:17" ht="12.75" customHeight="1" x14ac:dyDescent="0.2">
      <c r="A9" s="74" t="s">
        <v>13</v>
      </c>
      <c r="B9" s="35" t="s">
        <v>10</v>
      </c>
      <c r="C9" s="35" t="s">
        <v>21</v>
      </c>
      <c r="D9" s="36">
        <v>37816</v>
      </c>
      <c r="E9" s="81">
        <v>14.562608064365699</v>
      </c>
      <c r="F9" s="41">
        <v>20996</v>
      </c>
      <c r="G9" s="131">
        <v>0.13883937439060912</v>
      </c>
      <c r="H9" s="136">
        <v>2.1420212210802481</v>
      </c>
      <c r="I9" s="136">
        <v>4.7836389472726726</v>
      </c>
      <c r="J9" s="136">
        <v>3.5495435113740204</v>
      </c>
      <c r="K9" s="133">
        <v>6.5183341996457589</v>
      </c>
      <c r="L9" s="133">
        <v>2.701463626677536</v>
      </c>
      <c r="M9" s="133">
        <v>2.7641626713499345</v>
      </c>
      <c r="N9" s="98">
        <v>3.2479414272766682</v>
      </c>
      <c r="O9" s="98"/>
    </row>
    <row r="10" spans="1:17" s="25" customFormat="1" ht="23.25" customHeight="1" x14ac:dyDescent="0.2">
      <c r="A10" s="53" t="s">
        <v>44</v>
      </c>
      <c r="B10" s="54" t="s">
        <v>10</v>
      </c>
      <c r="C10" s="54"/>
      <c r="D10" s="55"/>
      <c r="E10" s="82">
        <f>SUM(E6:E9)</f>
        <v>98.356048064365709</v>
      </c>
      <c r="F10" s="56">
        <f>SUM(F6:F9)</f>
        <v>91086</v>
      </c>
      <c r="G10" s="134">
        <f t="shared" ref="G10:M10" si="0">($E$6*G6+$E$7*G7+$E$8*G8+$E$9*G9+$E$38*G38)/($E$10+$E$38)</f>
        <v>-0.10581904028487811</v>
      </c>
      <c r="H10" s="134">
        <f t="shared" si="0"/>
        <v>1.6613051738367746</v>
      </c>
      <c r="I10" s="134">
        <f t="shared" si="0"/>
        <v>4.3014779087141237</v>
      </c>
      <c r="J10" s="134">
        <f t="shared" si="0"/>
        <v>2.8870941326692328</v>
      </c>
      <c r="K10" s="134">
        <f t="shared" si="0"/>
        <v>5.2515812699057696</v>
      </c>
      <c r="L10" s="134">
        <f t="shared" si="0"/>
        <v>4.2166614942128557</v>
      </c>
      <c r="M10" s="134">
        <f t="shared" si="0"/>
        <v>5.6385088064996083</v>
      </c>
      <c r="N10" s="110" t="e">
        <f>E10-#REF!</f>
        <v>#REF!</v>
      </c>
      <c r="O10" s="111" t="e">
        <f>N10/#REF!</f>
        <v>#REF!</v>
      </c>
      <c r="P10" s="112" t="e">
        <f>F10-#REF!</f>
        <v>#REF!</v>
      </c>
      <c r="Q10" s="113" t="e">
        <f>P10/#REF!</f>
        <v>#REF!</v>
      </c>
    </row>
    <row r="11" spans="1:17" s="29" customFormat="1" ht="23.25" customHeight="1" x14ac:dyDescent="0.2">
      <c r="A11" s="71" t="s">
        <v>63</v>
      </c>
      <c r="B11" s="49"/>
      <c r="C11" s="49"/>
      <c r="D11" s="50"/>
      <c r="E11" s="178"/>
      <c r="F11" s="52"/>
      <c r="G11" s="177">
        <f t="shared" ref="G11:M11" si="1">(G10*$E$10+G38*$E$38)/($E$38+$E$10)</f>
        <v>-3.1714995497640605E-2</v>
      </c>
      <c r="H11" s="177">
        <f t="shared" si="1"/>
        <v>1.9956767795755836</v>
      </c>
      <c r="I11" s="177">
        <f t="shared" si="1"/>
        <v>4.4773676751910072</v>
      </c>
      <c r="J11" s="177">
        <f t="shared" si="1"/>
        <v>3.0861649334031918</v>
      </c>
      <c r="K11" s="177">
        <f t="shared" si="1"/>
        <v>5.3842284634675117</v>
      </c>
      <c r="L11" s="177">
        <f t="shared" si="1"/>
        <v>4.4518925293350931</v>
      </c>
      <c r="M11" s="177">
        <f t="shared" si="1"/>
        <v>6.2295189324463776</v>
      </c>
      <c r="N11" s="101"/>
      <c r="O11" s="179"/>
      <c r="P11" s="180"/>
      <c r="Q11" s="181"/>
    </row>
    <row r="12" spans="1:17" s="29" customFormat="1" ht="12" customHeight="1" x14ac:dyDescent="0.2">
      <c r="A12" s="69"/>
      <c r="B12" s="49"/>
      <c r="C12" s="49"/>
      <c r="D12" s="50"/>
      <c r="E12" s="51"/>
      <c r="F12" s="52"/>
      <c r="N12" s="101"/>
      <c r="O12" s="101"/>
      <c r="P12" s="102"/>
      <c r="Q12" s="102"/>
    </row>
    <row r="13" spans="1:17" ht="21" customHeight="1" x14ac:dyDescent="0.2">
      <c r="A13" s="203" t="s">
        <v>43</v>
      </c>
      <c r="B13" s="203"/>
      <c r="C13" s="203"/>
      <c r="D13" s="203"/>
      <c r="E13" s="203"/>
      <c r="F13" s="203"/>
      <c r="G13" s="203"/>
      <c r="H13" s="203"/>
      <c r="I13" s="203"/>
      <c r="J13" s="203"/>
      <c r="K13" s="203"/>
      <c r="L13" s="203"/>
      <c r="M13" s="203"/>
      <c r="N13" s="20"/>
      <c r="O13" s="20"/>
      <c r="P13" s="104"/>
      <c r="Q13" s="104"/>
    </row>
    <row r="14" spans="1:17" x14ac:dyDescent="0.2">
      <c r="A14" s="75" t="s">
        <v>28</v>
      </c>
      <c r="B14" s="30" t="s">
        <v>10</v>
      </c>
      <c r="C14" s="30" t="s">
        <v>19</v>
      </c>
      <c r="D14" s="31">
        <v>36606</v>
      </c>
      <c r="E14" s="78">
        <v>7.0789999999999997</v>
      </c>
      <c r="F14" s="83">
        <v>20598</v>
      </c>
      <c r="G14" s="128">
        <v>-3.3832375464888302E-3</v>
      </c>
      <c r="H14" s="132">
        <v>3.9722992197563478</v>
      </c>
      <c r="I14" s="132">
        <v>6.9714749502027828</v>
      </c>
      <c r="J14" s="132">
        <v>4.2193023820405573</v>
      </c>
      <c r="K14" s="132">
        <v>5.7411743395579862</v>
      </c>
      <c r="L14" s="132">
        <v>3.5821487819501563</v>
      </c>
      <c r="M14" s="132">
        <v>5.5426749471128467</v>
      </c>
      <c r="N14" s="103">
        <v>5.5762984059753329</v>
      </c>
      <c r="O14" s="103"/>
      <c r="P14" s="104"/>
      <c r="Q14" s="104"/>
    </row>
    <row r="15" spans="1:17" x14ac:dyDescent="0.2">
      <c r="A15" s="76" t="s">
        <v>30</v>
      </c>
      <c r="B15" s="30" t="s">
        <v>10</v>
      </c>
      <c r="C15" s="30" t="s">
        <v>20</v>
      </c>
      <c r="D15" s="31">
        <v>36091</v>
      </c>
      <c r="E15" s="79">
        <v>0.47471525671771947</v>
      </c>
      <c r="F15" s="34">
        <v>535</v>
      </c>
      <c r="G15" s="129">
        <v>0.1769081263729877</v>
      </c>
      <c r="H15" s="135">
        <v>3.2595541687153728</v>
      </c>
      <c r="I15" s="135">
        <v>5.4086067314475184</v>
      </c>
      <c r="J15" s="135">
        <v>3.7539150245795572</v>
      </c>
      <c r="K15" s="135">
        <v>5.3054160954019158</v>
      </c>
      <c r="L15" s="135"/>
      <c r="M15" s="135">
        <v>4.808067711841657</v>
      </c>
      <c r="N15" s="114">
        <v>4.5151790678644055</v>
      </c>
      <c r="O15" s="114"/>
      <c r="P15" s="104"/>
      <c r="Q15" s="104"/>
    </row>
    <row r="16" spans="1:17" ht="12.75" customHeight="1" x14ac:dyDescent="0.2">
      <c r="A16" s="75" t="s">
        <v>35</v>
      </c>
      <c r="B16" s="30" t="s">
        <v>10</v>
      </c>
      <c r="C16" s="30" t="s">
        <v>19</v>
      </c>
      <c r="D16" s="31">
        <v>39514</v>
      </c>
      <c r="E16" s="79">
        <v>0.64115274789491827</v>
      </c>
      <c r="F16" s="34">
        <v>1694</v>
      </c>
      <c r="G16" s="129">
        <v>-0.36219161221605622</v>
      </c>
      <c r="H16" s="135">
        <v>2.2535570500067825</v>
      </c>
      <c r="I16" s="135">
        <v>4.3383223914003288</v>
      </c>
      <c r="J16" s="135">
        <v>3.0093107903270244</v>
      </c>
      <c r="K16" s="135">
        <v>4.8217606200366747</v>
      </c>
      <c r="L16" s="135"/>
      <c r="M16" s="135">
        <v>5.0649207816370501</v>
      </c>
      <c r="N16" s="114">
        <v>3.8079874040534589</v>
      </c>
      <c r="O16" s="114"/>
      <c r="P16" s="104"/>
      <c r="Q16" s="104"/>
    </row>
    <row r="17" spans="1:17" x14ac:dyDescent="0.2">
      <c r="A17" s="73" t="s">
        <v>58</v>
      </c>
      <c r="B17" s="162" t="s">
        <v>10</v>
      </c>
      <c r="C17" s="162" t="s">
        <v>20</v>
      </c>
      <c r="D17" s="37">
        <v>38360</v>
      </c>
      <c r="E17" s="79">
        <v>0.318</v>
      </c>
      <c r="F17" s="34">
        <v>1777</v>
      </c>
      <c r="G17" s="129">
        <v>-0.12</v>
      </c>
      <c r="H17" s="129">
        <v>0.64</v>
      </c>
      <c r="I17" s="129">
        <v>1.4200000000000002</v>
      </c>
      <c r="J17" s="129">
        <v>1.34</v>
      </c>
      <c r="K17" s="129">
        <v>2.77</v>
      </c>
      <c r="L17" s="129"/>
      <c r="M17" s="129">
        <v>2.1</v>
      </c>
      <c r="N17" s="114">
        <v>2.15</v>
      </c>
      <c r="O17" s="114"/>
      <c r="P17" s="104"/>
      <c r="Q17" s="104"/>
    </row>
    <row r="18" spans="1:17" x14ac:dyDescent="0.2">
      <c r="A18" s="73" t="s">
        <v>57</v>
      </c>
      <c r="B18" s="12" t="s">
        <v>10</v>
      </c>
      <c r="C18" s="12" t="s">
        <v>19</v>
      </c>
      <c r="D18" s="37">
        <v>39182</v>
      </c>
      <c r="E18" s="79">
        <v>0.129</v>
      </c>
      <c r="F18" s="34">
        <v>258</v>
      </c>
      <c r="G18" s="129">
        <v>-0.15</v>
      </c>
      <c r="H18" s="129">
        <v>1.4200000000000002</v>
      </c>
      <c r="I18" s="129">
        <v>1.54</v>
      </c>
      <c r="J18" s="129">
        <v>0.70000000000000007</v>
      </c>
      <c r="K18" s="129">
        <v>0.28999999999999998</v>
      </c>
      <c r="L18" s="129"/>
      <c r="M18" s="129">
        <v>0.44</v>
      </c>
      <c r="N18" s="114">
        <v>3.37</v>
      </c>
      <c r="O18" s="114"/>
      <c r="P18" s="104"/>
      <c r="Q18" s="104"/>
    </row>
    <row r="19" spans="1:17" x14ac:dyDescent="0.2">
      <c r="A19" s="76" t="s">
        <v>39</v>
      </c>
      <c r="B19" s="12" t="s">
        <v>10</v>
      </c>
      <c r="C19" s="12" t="s">
        <v>19</v>
      </c>
      <c r="D19" s="33">
        <v>38245</v>
      </c>
      <c r="E19" s="80">
        <v>13.320695000000001</v>
      </c>
      <c r="F19" s="32">
        <v>27614</v>
      </c>
      <c r="G19" s="163">
        <v>-0.85</v>
      </c>
      <c r="H19" s="164">
        <v>1.71</v>
      </c>
      <c r="I19" s="164">
        <v>4.45</v>
      </c>
      <c r="J19" s="164">
        <v>2.2999999999999998</v>
      </c>
      <c r="K19" s="164">
        <v>4.53</v>
      </c>
      <c r="L19" s="164"/>
      <c r="M19" s="164">
        <v>5.01</v>
      </c>
      <c r="N19" s="101">
        <v>1.83</v>
      </c>
      <c r="O19" s="101"/>
      <c r="P19" s="104"/>
      <c r="Q19" s="104"/>
    </row>
    <row r="20" spans="1:17" ht="12.75" customHeight="1" x14ac:dyDescent="0.2">
      <c r="A20" s="76" t="s">
        <v>36</v>
      </c>
      <c r="B20" s="30" t="s">
        <v>10</v>
      </c>
      <c r="C20" s="30" t="s">
        <v>32</v>
      </c>
      <c r="D20" s="31">
        <v>39078</v>
      </c>
      <c r="E20" s="155">
        <v>7.6320518136686601</v>
      </c>
      <c r="F20" s="123">
        <v>13720</v>
      </c>
      <c r="G20" s="13">
        <v>-2.7830686558854456</v>
      </c>
      <c r="H20" s="13">
        <v>6.6701883880245338</v>
      </c>
      <c r="I20" s="13">
        <v>7.4913515600955716</v>
      </c>
      <c r="J20" s="13">
        <v>2.0494895990708084</v>
      </c>
      <c r="K20" s="14">
        <v>10.525234750968448</v>
      </c>
      <c r="L20" s="135"/>
      <c r="M20" s="14">
        <v>-2.293648189818509</v>
      </c>
      <c r="N20" s="166">
        <v>8.4910507605028496</v>
      </c>
      <c r="O20" s="115"/>
      <c r="P20" s="104"/>
      <c r="Q20" s="104"/>
    </row>
    <row r="21" spans="1:17" ht="12.75" customHeight="1" x14ac:dyDescent="0.2">
      <c r="A21" s="42" t="s">
        <v>43</v>
      </c>
      <c r="B21" s="43" t="s">
        <v>10</v>
      </c>
      <c r="C21" s="43"/>
      <c r="D21" s="44"/>
      <c r="E21" s="88">
        <f>SUM(E14:E20)</f>
        <v>29.594614818281297</v>
      </c>
      <c r="F21" s="45">
        <f>SUM(F14:F20)</f>
        <v>66196</v>
      </c>
      <c r="G21" s="137">
        <f>($E$14*G14+$E$15*G15+$E$16*G16+$E$17*G17+$E$18*G18+$E$19*G19+$E$20*G20)/$E$21</f>
        <v>-1.1080669315506624</v>
      </c>
      <c r="H21" s="137">
        <f>($E$14*H14+$E$15*H15+$E$16*H16+$E$17*H17+$E$18*H18+$E$19*H19+$E$20*H20)/$E$21</f>
        <v>3.5541754148849867</v>
      </c>
      <c r="I21" s="137">
        <f>($E$14*I14+$E$15*I15+$E$16*I16+$E$17*I17+$E$18*I18+$E$19*I19+$E$20*I20)/$E$21</f>
        <v>5.8051724509325613</v>
      </c>
      <c r="J21" s="137">
        <f>($E$14*J14+$E$15*J15+$E$16*J16+$E$17*J17+$E$18*J18+$E$19*J19+$E$20*J20)/$E$21</f>
        <v>2.7158907113592941</v>
      </c>
      <c r="K21" s="137">
        <f>($E$14*K14+$E$15*K15+$E$16*K16+$E$17*K17+$E$18*K18+$E$19*K19+$E$20*K20)/($E$21-E15-E16)</f>
        <v>6.5958652160544711</v>
      </c>
      <c r="L21" s="137">
        <f>L14</f>
        <v>3.5821487819501563</v>
      </c>
      <c r="M21" s="137">
        <f>($E$14*M14+$E$15*M15+$E$16*M16+$E$17*M17+$E$18*M18+$E$19*M19+$E$20*M20)/$E$21</f>
        <v>3.2006649733530947</v>
      </c>
      <c r="N21" s="116" t="e">
        <f>E21-#REF!</f>
        <v>#REF!</v>
      </c>
      <c r="O21" s="111" t="e">
        <f>N21/#REF!</f>
        <v>#REF!</v>
      </c>
      <c r="P21" s="112" t="e">
        <f>F21-#REF!</f>
        <v>#REF!</v>
      </c>
      <c r="Q21" s="113" t="e">
        <f>P21/#REF!</f>
        <v>#REF!</v>
      </c>
    </row>
    <row r="22" spans="1:17" s="18" customFormat="1" ht="12.75" customHeight="1" x14ac:dyDescent="0.2">
      <c r="A22" s="70"/>
      <c r="B22" s="19"/>
      <c r="C22" s="19"/>
      <c r="D22" s="58"/>
      <c r="E22" s="89"/>
      <c r="F22" s="38"/>
      <c r="G22" s="138"/>
      <c r="H22" s="139"/>
      <c r="I22" s="139"/>
      <c r="J22" s="139"/>
      <c r="K22" s="139"/>
      <c r="L22" s="139"/>
      <c r="M22" s="140"/>
      <c r="N22" s="115"/>
      <c r="O22" s="115"/>
      <c r="P22" s="102"/>
      <c r="Q22" s="102"/>
    </row>
    <row r="23" spans="1:17" ht="12.75" customHeight="1" x14ac:dyDescent="0.2">
      <c r="A23" s="75" t="s">
        <v>48</v>
      </c>
      <c r="B23" s="30" t="s">
        <v>10</v>
      </c>
      <c r="C23" s="30" t="s">
        <v>19</v>
      </c>
      <c r="D23" s="31">
        <v>39367</v>
      </c>
      <c r="E23" s="80">
        <v>4.6749999999999998</v>
      </c>
      <c r="F23" s="32">
        <v>4037</v>
      </c>
      <c r="G23" s="130">
        <v>-0.19618164150282846</v>
      </c>
      <c r="H23" s="136">
        <v>2.6459353914572548</v>
      </c>
      <c r="I23" s="133">
        <v>4.8593440329387283</v>
      </c>
      <c r="J23" s="136">
        <v>2.7784383444256378</v>
      </c>
      <c r="K23" s="136">
        <v>4.5726906293275915</v>
      </c>
      <c r="L23" s="136"/>
      <c r="M23" s="132">
        <v>3.0708218476854565</v>
      </c>
      <c r="N23" s="103">
        <v>3.1451633190635597</v>
      </c>
      <c r="O23" s="103"/>
      <c r="P23" s="104"/>
      <c r="Q23" s="104"/>
    </row>
    <row r="24" spans="1:17" ht="12.75" customHeight="1" x14ac:dyDescent="0.2">
      <c r="A24" s="76" t="s">
        <v>40</v>
      </c>
      <c r="B24" s="12" t="s">
        <v>10</v>
      </c>
      <c r="C24" s="12" t="s">
        <v>19</v>
      </c>
      <c r="D24" s="31">
        <v>37606</v>
      </c>
      <c r="E24" s="80">
        <v>16.765153000000002</v>
      </c>
      <c r="F24" s="32">
        <v>9682</v>
      </c>
      <c r="G24" s="163">
        <v>-0.97</v>
      </c>
      <c r="H24" s="164">
        <v>1.1200000000000001</v>
      </c>
      <c r="I24" s="164">
        <v>4.1500000000000004</v>
      </c>
      <c r="J24" s="164">
        <v>2.06</v>
      </c>
      <c r="K24" s="164">
        <v>3.42</v>
      </c>
      <c r="L24" s="165">
        <v>3.31</v>
      </c>
      <c r="M24" s="164">
        <v>3.4</v>
      </c>
      <c r="N24" s="101">
        <v>1.23</v>
      </c>
      <c r="O24" s="101"/>
      <c r="P24" s="104"/>
      <c r="Q24" s="104"/>
    </row>
    <row r="25" spans="1:17" ht="12.75" customHeight="1" x14ac:dyDescent="0.2">
      <c r="A25" s="75" t="s">
        <v>15</v>
      </c>
      <c r="B25" s="30" t="s">
        <v>10</v>
      </c>
      <c r="C25" s="30" t="s">
        <v>23</v>
      </c>
      <c r="D25" s="31">
        <v>37834</v>
      </c>
      <c r="E25" s="87">
        <v>27.073470781487497</v>
      </c>
      <c r="F25" s="57">
        <v>34743</v>
      </c>
      <c r="G25" s="131">
        <v>-1.0957033481937661</v>
      </c>
      <c r="H25" s="136">
        <v>4.3541388604122044</v>
      </c>
      <c r="I25" s="136">
        <v>5.9354214307970388</v>
      </c>
      <c r="J25" s="136">
        <v>3.4386709198568122</v>
      </c>
      <c r="K25" s="133">
        <v>7.9743806156538977</v>
      </c>
      <c r="L25" s="133">
        <v>3.3888826916514958</v>
      </c>
      <c r="M25" s="133">
        <v>3.4106842953069982</v>
      </c>
      <c r="N25" s="115">
        <v>5.8179845772138528</v>
      </c>
      <c r="O25" s="115"/>
      <c r="P25" s="104"/>
      <c r="Q25" s="104"/>
    </row>
    <row r="26" spans="1:17" ht="12.75" customHeight="1" x14ac:dyDescent="0.2">
      <c r="A26" s="73" t="s">
        <v>14</v>
      </c>
      <c r="B26" s="12" t="s">
        <v>10</v>
      </c>
      <c r="C26" s="12" t="s">
        <v>22</v>
      </c>
      <c r="D26" s="33">
        <v>40834</v>
      </c>
      <c r="E26" s="79">
        <v>1.7589999999999999</v>
      </c>
      <c r="F26" s="34">
        <v>2076</v>
      </c>
      <c r="G26" s="129">
        <v>-0.91</v>
      </c>
      <c r="H26" s="129">
        <v>3.48</v>
      </c>
      <c r="I26" s="129">
        <v>4.5</v>
      </c>
      <c r="J26" s="129"/>
      <c r="K26" s="129"/>
      <c r="L26" s="129"/>
      <c r="M26" s="133">
        <v>4.4400000000000004</v>
      </c>
      <c r="N26" s="115">
        <v>4.45</v>
      </c>
      <c r="O26" s="115"/>
      <c r="P26" s="104"/>
      <c r="Q26" s="104"/>
    </row>
    <row r="27" spans="1:17" ht="13.5" customHeight="1" x14ac:dyDescent="0.2">
      <c r="A27" s="76" t="s">
        <v>17</v>
      </c>
      <c r="B27" s="30" t="s">
        <v>10</v>
      </c>
      <c r="C27" s="30" t="s">
        <v>24</v>
      </c>
      <c r="D27" s="31">
        <v>4.1063829196259997E-2</v>
      </c>
      <c r="E27" s="79">
        <v>6.1277020000000182E-2</v>
      </c>
      <c r="F27" s="34">
        <v>110</v>
      </c>
      <c r="G27" s="129">
        <v>-0.64109778549062968</v>
      </c>
      <c r="H27" s="135">
        <v>0.86872698116489122</v>
      </c>
      <c r="I27" s="135">
        <v>4.6735507331475468</v>
      </c>
      <c r="J27" s="135">
        <v>2.7574075515869101</v>
      </c>
      <c r="K27" s="135">
        <v>3.1827110368642719</v>
      </c>
      <c r="L27" s="135"/>
      <c r="M27" s="135">
        <v>3.9722598230411688</v>
      </c>
      <c r="N27" s="114">
        <v>2.402751206296605</v>
      </c>
      <c r="O27" s="114"/>
      <c r="P27" s="104"/>
      <c r="Q27" s="104"/>
    </row>
    <row r="28" spans="1:17" ht="12.75" customHeight="1" x14ac:dyDescent="0.2">
      <c r="A28" s="42" t="s">
        <v>43</v>
      </c>
      <c r="B28" s="43" t="s">
        <v>10</v>
      </c>
      <c r="C28" s="43"/>
      <c r="D28" s="44"/>
      <c r="E28" s="90">
        <f>SUM(E23:E27)</f>
        <v>50.333900801487495</v>
      </c>
      <c r="F28" s="46">
        <f>SUM(F23:F27)</f>
        <v>50648</v>
      </c>
      <c r="G28" s="141">
        <f>($E$23*G23+$E$24*G24+$E$25*G25+$E$26*G26+$E$27*G27)/($E$28)</f>
        <v>-0.96324373744779013</v>
      </c>
      <c r="H28" s="141">
        <f>($E$23*H23+$E$24*H24+$E$25*H25+$E$26*H26+$E$27*H27)/($E$28)</f>
        <v>3.0834670283886383</v>
      </c>
      <c r="I28" s="141">
        <f>($E$23*I23+$E$24*I24+$E$25*I25+$E$26*I26+$E$27*I27)/($E$28-$E$26)</f>
        <v>5.3769982838592796</v>
      </c>
      <c r="J28" s="141">
        <f>($E$23*J23+$E$24*J24+$E$25*J25+$E$26*J26+$E$27*J27)/($E$28-$E$26)</f>
        <v>2.8984338518599579</v>
      </c>
      <c r="K28" s="141">
        <f>($E$23*K23+$E$24*K24+$E$25*K25+$E$26*K26+$E$27*K27)/($E$28-$E$26-$E$27)</f>
        <v>6.0767124081715762</v>
      </c>
      <c r="L28" s="141">
        <f>($E$23*L23+$E$24*L24+$E$25*L25+$E$26*L26+$E$27*L27)/($E$28-$E$26-$E$27)</f>
        <v>3.0350541041319188</v>
      </c>
      <c r="M28" s="141">
        <f>($E$23*M23+$E$24*M24+$E$25*M25+$E$26*M26+$E$27*M27)/($E$28)</f>
        <v>3.4122140239793981</v>
      </c>
      <c r="N28" s="117" t="e">
        <f>E28-#REF!</f>
        <v>#REF!</v>
      </c>
      <c r="O28" s="118" t="e">
        <f>N28/#REF!</f>
        <v>#REF!</v>
      </c>
      <c r="P28" s="112" t="e">
        <f>F28-#REF!</f>
        <v>#REF!</v>
      </c>
      <c r="Q28" s="113" t="e">
        <f>P28/#REF!</f>
        <v>#REF!</v>
      </c>
    </row>
    <row r="29" spans="1:17" s="18" customFormat="1" ht="12.75" customHeight="1" x14ac:dyDescent="0.2">
      <c r="A29" s="70"/>
      <c r="B29" s="19"/>
      <c r="C29" s="19"/>
      <c r="D29" s="58"/>
      <c r="E29" s="91"/>
      <c r="F29" s="39"/>
      <c r="G29" s="142"/>
      <c r="H29" s="143"/>
      <c r="I29" s="143"/>
      <c r="J29" s="143"/>
      <c r="K29" s="143"/>
      <c r="L29" s="143"/>
      <c r="M29" s="144"/>
      <c r="N29" s="114"/>
      <c r="O29" s="114"/>
      <c r="P29" s="102"/>
      <c r="Q29" s="102"/>
    </row>
    <row r="30" spans="1:17" ht="12.75" customHeight="1" x14ac:dyDescent="0.2">
      <c r="A30" s="75" t="s">
        <v>29</v>
      </c>
      <c r="B30" s="30" t="s">
        <v>11</v>
      </c>
      <c r="C30" s="30" t="s">
        <v>19</v>
      </c>
      <c r="D30" s="31">
        <v>38808</v>
      </c>
      <c r="E30" s="78">
        <v>0.83899999999999997</v>
      </c>
      <c r="F30" s="83">
        <v>708</v>
      </c>
      <c r="G30" s="128">
        <v>-0.89451603536065316</v>
      </c>
      <c r="H30" s="136">
        <v>-1.5246813365353162</v>
      </c>
      <c r="I30" s="136">
        <v>4.3117274390245486</v>
      </c>
      <c r="J30" s="136">
        <v>2.6250396252115893</v>
      </c>
      <c r="K30" s="136">
        <v>4.4362437895144824</v>
      </c>
      <c r="L30" s="136"/>
      <c r="M30" s="132">
        <v>4.7187451700200445</v>
      </c>
      <c r="N30" s="103">
        <v>4.8924052098107129</v>
      </c>
      <c r="O30" s="103"/>
      <c r="P30" s="104"/>
      <c r="Q30" s="104"/>
    </row>
    <row r="31" spans="1:17" ht="12.75" customHeight="1" x14ac:dyDescent="0.2">
      <c r="A31" s="75" t="s">
        <v>16</v>
      </c>
      <c r="B31" s="30" t="s">
        <v>11</v>
      </c>
      <c r="C31" s="30" t="s">
        <v>23</v>
      </c>
      <c r="D31" s="31">
        <v>37816</v>
      </c>
      <c r="E31" s="87">
        <v>1.473030784339</v>
      </c>
      <c r="F31" s="57">
        <v>1259</v>
      </c>
      <c r="G31" s="131">
        <v>-1.3738313646187716</v>
      </c>
      <c r="H31" s="133">
        <v>0.81086464664958946</v>
      </c>
      <c r="I31" s="133">
        <v>2.4007587465327385</v>
      </c>
      <c r="J31" s="133">
        <v>1.5598868186406767</v>
      </c>
      <c r="K31" s="133">
        <v>5.0334174955242839</v>
      </c>
      <c r="L31" s="133">
        <v>1.9452607156968282</v>
      </c>
      <c r="M31" s="133">
        <v>1.9137160352635352</v>
      </c>
      <c r="N31" s="115">
        <v>1.850854406249991</v>
      </c>
      <c r="O31" s="115"/>
      <c r="P31" s="104"/>
      <c r="Q31" s="104"/>
    </row>
    <row r="32" spans="1:17" ht="12.75" customHeight="1" x14ac:dyDescent="0.2">
      <c r="A32" s="42" t="s">
        <v>43</v>
      </c>
      <c r="B32" s="43" t="s">
        <v>11</v>
      </c>
      <c r="C32" s="47"/>
      <c r="D32" s="48"/>
      <c r="E32" s="90">
        <f>SUM(E30:E31)</f>
        <v>2.312030784339</v>
      </c>
      <c r="F32" s="46">
        <f>SUM(F30:F31)</f>
        <v>1967</v>
      </c>
      <c r="G32" s="137">
        <f>($E$30*G30+$E$31*G31)/$E$32</f>
        <v>-1.1998952890389938</v>
      </c>
      <c r="H32" s="137">
        <f>($E$30*H30+$E$31*H31)/$E$32</f>
        <v>-3.6668653151327987E-2</v>
      </c>
      <c r="I32" s="137">
        <f>($E$30*I30+$E$31*I31)/$E$32</f>
        <v>3.0942195533095851</v>
      </c>
      <c r="J32" s="137">
        <f>($E$30*J30+$E$31*J31)/$E$32</f>
        <v>1.9464142000087801</v>
      </c>
      <c r="K32" s="137">
        <f>($E$30*K30+$E$31*K31)/$E$32</f>
        <v>4.816712448716066</v>
      </c>
      <c r="L32" s="137">
        <f>L31</f>
        <v>1.9452607156968282</v>
      </c>
      <c r="M32" s="137">
        <f>($E$30*M30+$E$31*M31)/$E$32</f>
        <v>2.9316174663353292</v>
      </c>
      <c r="N32" s="116" t="e">
        <f>E32-#REF!</f>
        <v>#REF!</v>
      </c>
      <c r="O32" s="116" t="e">
        <f>N32/#REF!</f>
        <v>#REF!</v>
      </c>
      <c r="P32" s="112" t="e">
        <f>F32-#REF!</f>
        <v>#REF!</v>
      </c>
      <c r="Q32" s="113" t="e">
        <f>P32/#REF!</f>
        <v>#REF!</v>
      </c>
    </row>
    <row r="33" spans="1:18" s="18" customFormat="1" ht="12.75" customHeight="1" x14ac:dyDescent="0.2">
      <c r="A33" s="70"/>
      <c r="B33" s="19"/>
      <c r="C33" s="19"/>
      <c r="D33" s="58"/>
      <c r="E33" s="91"/>
      <c r="F33" s="39"/>
      <c r="G33" s="142"/>
      <c r="H33" s="139"/>
      <c r="I33" s="139"/>
      <c r="J33" s="139"/>
      <c r="K33" s="139"/>
      <c r="L33" s="139"/>
      <c r="M33" s="140"/>
      <c r="N33" s="115"/>
      <c r="O33" s="115"/>
      <c r="P33" s="102"/>
      <c r="Q33" s="102"/>
    </row>
    <row r="34" spans="1:18" s="25" customFormat="1" ht="21" customHeight="1" x14ac:dyDescent="0.2">
      <c r="A34" s="64" t="s">
        <v>45</v>
      </c>
      <c r="B34" s="65"/>
      <c r="C34" s="65"/>
      <c r="D34" s="65"/>
      <c r="E34" s="90">
        <f>E32+E28+E21</f>
        <v>82.240546404107789</v>
      </c>
      <c r="F34" s="46">
        <f>F32+F28+F21</f>
        <v>118811</v>
      </c>
      <c r="G34" s="145">
        <f>($E$21*G21+$E$28*G28+$E$32*G32)/$E$34</f>
        <v>-1.0220119792700106</v>
      </c>
      <c r="H34" s="145">
        <f>($E$21*H21+$E$28*H28+$E$32*H32)/$E$34</f>
        <v>3.1651370067233602</v>
      </c>
      <c r="I34" s="145">
        <f>($E$21*I21+$E$28*I28+$E$32*I32)/$E$34</f>
        <v>5.4669027795623588</v>
      </c>
      <c r="J34" s="145">
        <f>($E$21*J21+$E$28*J28+$E$32*J32)/$E$34</f>
        <v>2.805980761436031</v>
      </c>
      <c r="K34" s="145">
        <f>($E$21*K21+$E$28*K28+$E$32*K32)/$E$34</f>
        <v>6.2281093678344632</v>
      </c>
      <c r="L34" s="145">
        <f>($E$21*L21+$E$28*L28)/(E21+E28)</f>
        <v>3.2376233140517625</v>
      </c>
      <c r="M34" s="145">
        <f>($E$21*M21+$E$28*M28+$E$32*M32)/$E$34</f>
        <v>3.3225761625241059</v>
      </c>
      <c r="N34" s="103"/>
      <c r="O34" s="103"/>
      <c r="P34" s="104"/>
      <c r="Q34" s="104"/>
      <c r="R34" s="26"/>
    </row>
    <row r="35" spans="1:18" s="25" customFormat="1" ht="26.25" customHeight="1" x14ac:dyDescent="0.2">
      <c r="A35" s="182" t="s">
        <v>46</v>
      </c>
      <c r="B35" s="182"/>
      <c r="C35" s="182"/>
      <c r="D35" s="182"/>
      <c r="E35" s="92">
        <f>SUM(E10,E34)</f>
        <v>180.59659446847348</v>
      </c>
      <c r="F35" s="66">
        <f>SUM(F10, F34)</f>
        <v>209897</v>
      </c>
      <c r="G35" s="176"/>
      <c r="H35" s="183"/>
      <c r="I35" s="184"/>
      <c r="J35" s="184"/>
      <c r="K35" s="184"/>
      <c r="L35" s="184"/>
      <c r="M35" s="185"/>
      <c r="N35" s="105"/>
      <c r="O35" s="105"/>
      <c r="P35" s="104"/>
      <c r="Q35" s="104"/>
      <c r="R35" s="26"/>
    </row>
    <row r="36" spans="1:18" s="29" customFormat="1" ht="10.5" customHeight="1" x14ac:dyDescent="0.2">
      <c r="A36" s="71"/>
      <c r="B36" s="59"/>
      <c r="C36" s="59"/>
      <c r="D36" s="59"/>
      <c r="E36" s="60"/>
      <c r="F36" s="39"/>
      <c r="G36" s="142"/>
      <c r="H36" s="142"/>
      <c r="I36" s="142"/>
      <c r="J36" s="142"/>
      <c r="K36" s="142"/>
      <c r="L36" s="142"/>
      <c r="M36" s="146"/>
      <c r="N36" s="105"/>
      <c r="O36" s="105"/>
      <c r="P36" s="102"/>
      <c r="Q36" s="102"/>
      <c r="R36" s="40"/>
    </row>
    <row r="37" spans="1:18" ht="22.5" customHeight="1" x14ac:dyDescent="0.2">
      <c r="A37" s="67" t="s">
        <v>25</v>
      </c>
      <c r="B37" s="61"/>
      <c r="C37" s="61"/>
      <c r="D37" s="61"/>
      <c r="E37" s="62"/>
      <c r="F37" s="63"/>
      <c r="G37" s="147"/>
      <c r="H37" s="148"/>
      <c r="I37" s="148"/>
      <c r="J37" s="148"/>
      <c r="K37" s="148"/>
      <c r="L37" s="148"/>
      <c r="M37" s="148"/>
      <c r="N37" s="119"/>
      <c r="O37" s="119"/>
      <c r="P37" s="104"/>
      <c r="Q37" s="104"/>
      <c r="R37" s="2"/>
    </row>
    <row r="38" spans="1:18" ht="39" customHeight="1" thickBot="1" x14ac:dyDescent="0.25">
      <c r="A38" s="77" t="s">
        <v>41</v>
      </c>
      <c r="B38" s="30" t="s">
        <v>10</v>
      </c>
      <c r="C38" s="30" t="s">
        <v>20</v>
      </c>
      <c r="D38" s="68">
        <v>36495</v>
      </c>
      <c r="E38" s="27">
        <v>55.335999999999999</v>
      </c>
      <c r="F38" s="28">
        <v>12086</v>
      </c>
      <c r="G38" s="149">
        <v>0.1</v>
      </c>
      <c r="H38" s="149">
        <v>2.59</v>
      </c>
      <c r="I38" s="149">
        <v>4.79</v>
      </c>
      <c r="J38" s="149">
        <v>3.44</v>
      </c>
      <c r="K38" s="149">
        <v>5.62</v>
      </c>
      <c r="L38" s="149">
        <v>4.87</v>
      </c>
      <c r="M38" s="150">
        <v>7.28</v>
      </c>
      <c r="N38" s="114">
        <v>3.2</v>
      </c>
      <c r="O38" s="114"/>
      <c r="P38" s="104"/>
      <c r="Q38" s="104"/>
    </row>
    <row r="39" spans="1:18" ht="31.5" customHeight="1" x14ac:dyDescent="0.2">
      <c r="A39" s="204" t="s">
        <v>33</v>
      </c>
      <c r="B39" s="205"/>
      <c r="C39" s="205"/>
      <c r="D39" s="206"/>
      <c r="E39" s="124">
        <f>E35+E38</f>
        <v>235.9325944684735</v>
      </c>
      <c r="F39" s="125">
        <f>F35+F38</f>
        <v>221983</v>
      </c>
      <c r="G39" s="151"/>
      <c r="H39" s="152"/>
      <c r="I39" s="152"/>
      <c r="J39" s="152"/>
      <c r="K39" s="152"/>
      <c r="L39" s="152"/>
      <c r="M39" s="152"/>
      <c r="N39" s="121" t="e">
        <f>E39-#REF!</f>
        <v>#REF!</v>
      </c>
      <c r="O39" s="122" t="e">
        <f>N39/#REF!</f>
        <v>#REF!</v>
      </c>
      <c r="P39" s="112" t="e">
        <f>F39-#REF!</f>
        <v>#REF!</v>
      </c>
      <c r="Q39" s="120" t="e">
        <f>P39/#REF!</f>
        <v>#REF!</v>
      </c>
    </row>
    <row r="40" spans="1:18" ht="41.25" customHeight="1" x14ac:dyDescent="0.2">
      <c r="A40" s="207" t="s">
        <v>53</v>
      </c>
      <c r="B40" s="208"/>
      <c r="C40" s="208"/>
      <c r="D40" s="208"/>
      <c r="E40" s="208"/>
      <c r="F40" s="208"/>
      <c r="G40" s="208"/>
      <c r="H40" s="208"/>
      <c r="I40" s="208"/>
      <c r="J40" s="208"/>
      <c r="K40" s="208"/>
      <c r="L40" s="208"/>
      <c r="M40" s="209"/>
      <c r="N40" s="16"/>
      <c r="O40" s="16"/>
    </row>
    <row r="41" spans="1:18" s="4" customFormat="1" ht="24" customHeight="1" x14ac:dyDescent="0.2">
      <c r="A41" s="210" t="s">
        <v>31</v>
      </c>
      <c r="B41" s="211"/>
      <c r="C41" s="211"/>
      <c r="D41" s="211"/>
      <c r="E41" s="211"/>
      <c r="F41" s="211"/>
      <c r="G41" s="211"/>
      <c r="H41" s="211"/>
      <c r="I41" s="211"/>
      <c r="J41" s="211"/>
      <c r="K41" s="211"/>
      <c r="L41" s="211"/>
      <c r="M41" s="212"/>
      <c r="N41" s="20"/>
      <c r="O41" s="20"/>
      <c r="P41" s="106"/>
      <c r="Q41" s="106"/>
    </row>
    <row r="42" spans="1:18" s="4" customFormat="1" ht="24" customHeight="1" x14ac:dyDescent="0.2">
      <c r="A42" s="173" t="s">
        <v>56</v>
      </c>
      <c r="B42" s="174"/>
      <c r="C42" s="174"/>
      <c r="D42" s="174"/>
      <c r="E42" s="174"/>
      <c r="F42" s="174"/>
      <c r="G42" s="174"/>
      <c r="H42" s="174"/>
      <c r="I42" s="174"/>
      <c r="J42" s="174"/>
      <c r="K42" s="174"/>
      <c r="L42" s="174"/>
      <c r="M42" s="175"/>
      <c r="N42" s="20"/>
      <c r="O42" s="20"/>
      <c r="P42" s="106"/>
      <c r="Q42" s="106"/>
    </row>
    <row r="43" spans="1:18" s="4" customFormat="1" ht="24" customHeight="1" x14ac:dyDescent="0.2">
      <c r="A43" s="213" t="s">
        <v>59</v>
      </c>
      <c r="B43" s="214"/>
      <c r="C43" s="214"/>
      <c r="D43" s="214"/>
      <c r="E43" s="214"/>
      <c r="F43" s="214"/>
      <c r="G43" s="214"/>
      <c r="H43" s="214"/>
      <c r="I43" s="214"/>
      <c r="J43" s="214"/>
      <c r="K43" s="214"/>
      <c r="L43" s="214"/>
      <c r="M43" s="215"/>
      <c r="N43" s="20"/>
      <c r="O43" s="20"/>
      <c r="P43" s="106"/>
      <c r="Q43" s="106"/>
    </row>
    <row r="44" spans="1:18" ht="22.5" customHeight="1" x14ac:dyDescent="0.2">
      <c r="B44" s="11"/>
      <c r="C44" s="11"/>
      <c r="D44" s="11"/>
      <c r="E44" s="216" t="s">
        <v>52</v>
      </c>
      <c r="F44" s="217"/>
      <c r="G44" s="153">
        <f>($E$10*G10+$E$21*G21+$E$28*G28+$E$32*G32+$E$38*G38)/$E$39</f>
        <v>-0.37690920332322508</v>
      </c>
      <c r="H44" s="153">
        <f>($E$10*H10+$E$21*H21+$E$28*H28+$E$32*H32+$E$38*H38)/$E$39</f>
        <v>2.4033230748879379</v>
      </c>
      <c r="I44" s="153">
        <f>($E$10*I10+$E$21*I21+$E$28*I28+$E$32*I32+$E$38*I38)/$E$39</f>
        <v>4.822296309799059</v>
      </c>
      <c r="J44" s="153">
        <f>($E$10*J10+$E$21*J21+$E$28*J28+$E$32*J32+$E$38*J38)/$E$39</f>
        <v>2.9884993291729929</v>
      </c>
      <c r="K44" s="153">
        <f>($E$10*K10+$E$21*K21+$E$28*K28+$E$32*K32+$E$38*K38)/$E$39</f>
        <v>5.6783854739962303</v>
      </c>
      <c r="L44" s="153">
        <f>($E$10*L10+$E$21*L21+$E$28*L28+$E$38*L38)/$E$39</f>
        <v>3.9968996583474685</v>
      </c>
      <c r="M44" s="153">
        <f>($E$10*M10+$E$21*M21+$E$28*M28+$E$32*M32+$E$38*M38)/$E$39</f>
        <v>5.2162271390743351</v>
      </c>
      <c r="N44" s="17"/>
      <c r="O44" s="17"/>
    </row>
    <row r="45" spans="1:18" ht="16.5" customHeight="1" x14ac:dyDescent="0.2">
      <c r="B45" s="10"/>
      <c r="C45" s="10"/>
      <c r="D45" s="10"/>
      <c r="E45" s="21"/>
      <c r="F45" s="84" t="s">
        <v>51</v>
      </c>
      <c r="G45" s="154"/>
      <c r="H45" s="154">
        <f>H44-'DEC-2013'!$H$44</f>
        <v>0.16855881656160809</v>
      </c>
      <c r="I45" s="154">
        <f>I44-'DEC-2013'!$I$44</f>
        <v>0.48637568594530034</v>
      </c>
      <c r="J45" s="154">
        <f>J44-'DEC-2013'!$J$44</f>
        <v>0.74877909637020501</v>
      </c>
      <c r="K45" s="154">
        <f>K44-'DEC-2013'!$K$44</f>
        <v>1.5130477519565249</v>
      </c>
      <c r="L45" s="154">
        <f>L44-'DEC-2013'!$L$44</f>
        <v>1.1591669712203592</v>
      </c>
      <c r="M45" s="154">
        <f>M44-'DEC-2013'!$M$44</f>
        <v>1.5124886170435081</v>
      </c>
      <c r="N45" s="20"/>
      <c r="O45" s="20"/>
    </row>
    <row r="46" spans="1:18" x14ac:dyDescent="0.2">
      <c r="E46" s="22"/>
      <c r="F46" s="85"/>
      <c r="G46" s="85"/>
      <c r="H46" s="9"/>
      <c r="I46" s="9"/>
      <c r="J46" s="9"/>
      <c r="K46" s="9"/>
      <c r="L46" s="9"/>
      <c r="M46" s="9"/>
      <c r="N46" s="94"/>
      <c r="O46" s="94"/>
    </row>
    <row r="47" spans="1:18" x14ac:dyDescent="0.2">
      <c r="E47" s="23"/>
      <c r="F47" s="85"/>
      <c r="G47" s="85"/>
      <c r="H47" s="6"/>
      <c r="I47" s="6"/>
      <c r="J47" s="6"/>
      <c r="K47" s="6"/>
      <c r="L47" s="6"/>
      <c r="M47" s="6"/>
      <c r="N47" s="94"/>
      <c r="O47" s="94"/>
      <c r="P47" s="107"/>
    </row>
    <row r="48" spans="1:18" x14ac:dyDescent="0.2">
      <c r="H48" s="7"/>
      <c r="I48" s="6"/>
      <c r="J48" s="6"/>
      <c r="K48" s="6"/>
      <c r="L48" s="6"/>
      <c r="M48" s="6"/>
      <c r="N48" s="94"/>
      <c r="O48" s="94"/>
      <c r="P48" s="99"/>
    </row>
    <row r="49" spans="1:16" x14ac:dyDescent="0.2">
      <c r="A49" s="25" t="s">
        <v>66</v>
      </c>
      <c r="B49" s="167"/>
      <c r="C49" s="167"/>
      <c r="D49" s="25"/>
      <c r="E49" s="168">
        <f>E39-'DEC-2013'!$E$39</f>
        <v>0.31212425079439754</v>
      </c>
      <c r="F49" s="169">
        <f>E49/'DEC-2013'!$E$39</f>
        <v>1.3246907219310786E-3</v>
      </c>
      <c r="H49" s="6"/>
      <c r="I49" s="6"/>
      <c r="J49" s="6"/>
      <c r="K49" s="6"/>
      <c r="L49" s="6"/>
      <c r="M49" s="6"/>
      <c r="N49" s="94"/>
      <c r="O49" s="94"/>
      <c r="P49" s="99"/>
    </row>
    <row r="50" spans="1:16" x14ac:dyDescent="0.2">
      <c r="A50" s="25" t="s">
        <v>67</v>
      </c>
      <c r="B50" s="167"/>
      <c r="C50" s="167"/>
      <c r="D50" s="25"/>
      <c r="E50" s="170">
        <f>F39-'DEC-2013'!$F$39</f>
        <v>1503</v>
      </c>
      <c r="F50" s="169">
        <f>E50/'DEC-2013'!$F$39</f>
        <v>6.8169448476052249E-3</v>
      </c>
      <c r="H50" s="5"/>
      <c r="I50" s="5"/>
      <c r="J50" s="5"/>
      <c r="K50" s="5"/>
      <c r="L50" s="5"/>
      <c r="M50" s="5"/>
      <c r="N50" s="108"/>
      <c r="O50" s="108"/>
    </row>
  </sheetData>
  <mergeCells count="20">
    <mergeCell ref="A39:D39"/>
    <mergeCell ref="A40:M40"/>
    <mergeCell ref="A41:M41"/>
    <mergeCell ref="A43:M43"/>
    <mergeCell ref="E44:F44"/>
    <mergeCell ref="N3:O3"/>
    <mergeCell ref="P3:Q3"/>
    <mergeCell ref="A4:M4"/>
    <mergeCell ref="A5:M5"/>
    <mergeCell ref="A13:M13"/>
    <mergeCell ref="A35:D35"/>
    <mergeCell ref="H35:M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DEC-2013</vt:lpstr>
      <vt:lpstr>JAN-2014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2014-01-16T07:56:17Z</cp:lastPrinted>
  <dcterms:created xsi:type="dcterms:W3CDTF">2007-05-09T12:50:46Z</dcterms:created>
  <dcterms:modified xsi:type="dcterms:W3CDTF">2014-02-21T11:56:41Z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